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r Gunnar\Documents\Lyngson\Beregningsprogrammer\"/>
    </mc:Choice>
  </mc:AlternateContent>
  <workbookProtection workbookPassword="D672" lockStructure="1"/>
  <bookViews>
    <workbookView xWindow="0" yWindow="0" windowWidth="28800" windowHeight="12435"/>
  </bookViews>
  <sheets>
    <sheet name="Blad1" sheetId="1" r:id="rId1"/>
    <sheet name="Data" sheetId="2" state="hidden" r:id="rId2"/>
  </sheets>
  <definedNames>
    <definedName name="kopl400">Data!$D$3:$F$3</definedName>
    <definedName name="Kopplingstyp1">Data!$D$3:$F$3</definedName>
    <definedName name="Panelmodell">Data!$A$3:$A$7</definedName>
    <definedName name="_xlnm.Print_Area" localSheetId="0">Blad1!$B$1:$O$58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4" i="1"/>
  <c r="M7" i="2" l="1"/>
  <c r="M6" i="2"/>
  <c r="M5" i="2"/>
  <c r="L5" i="2" s="1"/>
  <c r="M4" i="2"/>
  <c r="L4" i="2" s="1"/>
  <c r="M3" i="2"/>
  <c r="L3" i="2" s="1"/>
  <c r="J19" i="2" l="1"/>
  <c r="I19" i="2" s="1"/>
  <c r="J20" i="2"/>
  <c r="I20" i="2" s="1"/>
  <c r="G19" i="2"/>
  <c r="F19" i="2" s="1"/>
  <c r="G20" i="2"/>
  <c r="F20" i="2" s="1"/>
  <c r="D19" i="2"/>
  <c r="C19" i="2" s="1"/>
  <c r="D20" i="2"/>
  <c r="C20" i="2" s="1"/>
  <c r="J18" i="2"/>
  <c r="I18" i="2" s="1"/>
  <c r="G18" i="2"/>
  <c r="F18" i="2" s="1"/>
  <c r="D18" i="2"/>
  <c r="C18" i="2" s="1"/>
  <c r="I22" i="2"/>
  <c r="F22" i="2"/>
  <c r="I21" i="2"/>
  <c r="F21" i="2"/>
  <c r="D29" i="1"/>
  <c r="L6" i="2" s="1"/>
  <c r="D30" i="1" s="1"/>
  <c r="D23" i="1"/>
  <c r="D22" i="1"/>
  <c r="C22" i="2" l="1"/>
  <c r="L7" i="2"/>
  <c r="C21" i="2"/>
  <c r="D18" i="1" l="1"/>
  <c r="D13" i="1"/>
  <c r="G3" i="2" l="1"/>
  <c r="H5" i="2"/>
  <c r="H3" i="2"/>
  <c r="H4" i="2"/>
  <c r="I7" i="2"/>
  <c r="G5" i="2"/>
  <c r="I5" i="2" s="1"/>
  <c r="I6" i="2"/>
  <c r="G4" i="2"/>
  <c r="I4" i="2" s="1"/>
  <c r="D40" i="1"/>
  <c r="D41" i="1" s="1"/>
  <c r="I3" i="2" l="1"/>
  <c r="D26" i="1" s="1"/>
  <c r="D33" i="1" s="1"/>
  <c r="J45" i="1"/>
  <c r="J44" i="1"/>
  <c r="D36" i="1" l="1"/>
  <c r="D37" i="1" s="1"/>
  <c r="D44" i="1" s="1"/>
  <c r="D35" i="1"/>
  <c r="J43" i="1" s="1"/>
  <c r="D34" i="1"/>
  <c r="D43" i="1" l="1"/>
</calcChain>
</file>

<file path=xl/sharedStrings.xml><?xml version="1.0" encoding="utf-8"?>
<sst xmlns="http://schemas.openxmlformats.org/spreadsheetml/2006/main" count="161" uniqueCount="116">
  <si>
    <t>Bredd</t>
  </si>
  <si>
    <t>Panelmodell</t>
  </si>
  <si>
    <t>Kopplingstyp</t>
  </si>
  <si>
    <t>Antal paneler/stråk</t>
  </si>
  <si>
    <t>Bygglängd</t>
  </si>
  <si>
    <t>Effektlängd</t>
  </si>
  <si>
    <t>Total effekt</t>
  </si>
  <si>
    <t>Effekt per m2</t>
  </si>
  <si>
    <t>Tryckfall</t>
  </si>
  <si>
    <t>Antal paneler</t>
  </si>
  <si>
    <t>Antal monteringssatser</t>
  </si>
  <si>
    <t>m</t>
  </si>
  <si>
    <t>m2</t>
  </si>
  <si>
    <t>°C</t>
  </si>
  <si>
    <t>mm</t>
  </si>
  <si>
    <t>kg</t>
  </si>
  <si>
    <t>W</t>
  </si>
  <si>
    <t>st</t>
  </si>
  <si>
    <t>kW</t>
  </si>
  <si>
    <t>W/m2</t>
  </si>
  <si>
    <t>l/s</t>
  </si>
  <si>
    <t>l/h</t>
  </si>
  <si>
    <t>kPa</t>
  </si>
  <si>
    <t>S:a monteringssatser</t>
  </si>
  <si>
    <t>S:a paneler</t>
  </si>
  <si>
    <t>TOTAL EFFEKT/m2</t>
  </si>
  <si>
    <t>P</t>
  </si>
  <si>
    <t>Casa 400</t>
  </si>
  <si>
    <t>Casa 800</t>
  </si>
  <si>
    <t>Casa 1200</t>
  </si>
  <si>
    <t>Arena 615</t>
  </si>
  <si>
    <t>Arena 900</t>
  </si>
  <si>
    <t>Paneltyp</t>
  </si>
  <si>
    <t>Ansl</t>
  </si>
  <si>
    <t>D</t>
  </si>
  <si>
    <t>S</t>
  </si>
  <si>
    <t>Effekt/m&lt;25</t>
  </si>
  <si>
    <t>Effekt /m&gt;=25</t>
  </si>
  <si>
    <t>Effekt/m</t>
  </si>
  <si>
    <t>Beräkning 1</t>
  </si>
  <si>
    <t>Beräkning 2</t>
  </si>
  <si>
    <t>Beräkning 3</t>
  </si>
  <si>
    <t>casa</t>
  </si>
  <si>
    <t>arena</t>
  </si>
  <si>
    <t xml:space="preserve">Effektlängd </t>
  </si>
  <si>
    <t>Vikt/m tom</t>
  </si>
  <si>
    <t>Vikt/m fylld</t>
  </si>
  <si>
    <t>v. 2017-04-11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</si>
  <si>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</si>
  <si>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</si>
  <si>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</si>
  <si>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</si>
  <si>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</si>
  <si>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</si>
  <si>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</si>
  <si>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</si>
  <si>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</si>
  <si>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Lengde</t>
  </si>
  <si>
    <t>Bredde</t>
  </si>
  <si>
    <t>Høyde</t>
  </si>
  <si>
    <t>Areal</t>
  </si>
  <si>
    <t>Lokalenes lengde</t>
  </si>
  <si>
    <t>Lokalenes bredde</t>
  </si>
  <si>
    <t>Lokalenes høyde</t>
  </si>
  <si>
    <t>Romtemperatur</t>
  </si>
  <si>
    <t>Vanntemperatur Inn</t>
  </si>
  <si>
    <t>Vanntemperatur Ut</t>
  </si>
  <si>
    <t>Temperaturdifferanse</t>
  </si>
  <si>
    <t>Middeltemp minus rom temp.</t>
  </si>
  <si>
    <t>Koblingstype</t>
  </si>
  <si>
    <t>Kommentarer/forklaringer</t>
  </si>
  <si>
    <t>S finnes ikke for Casa 400 eller                Arena 615</t>
  </si>
  <si>
    <t>Anslutningsdiameter Ø</t>
  </si>
  <si>
    <t>Vekt pr rad</t>
  </si>
  <si>
    <t>Vekt pr rad inkl vann</t>
  </si>
  <si>
    <t>Effekt pr løpemeter</t>
  </si>
  <si>
    <t>Antal rader</t>
  </si>
  <si>
    <t>Angi antall rader</t>
  </si>
  <si>
    <t>Antal paneler pr rad</t>
  </si>
  <si>
    <t>Optimaliser raden etter panellengde 6mtr</t>
  </si>
  <si>
    <t>Effektlengde</t>
  </si>
  <si>
    <t>Byggelengde</t>
  </si>
  <si>
    <t>Angi ønsket lengde pr rad</t>
  </si>
  <si>
    <t>(Max 24 m for Casa och 125m for Arena)</t>
  </si>
  <si>
    <t>Effekt pr rad</t>
  </si>
  <si>
    <t>Vannmengde pr rad (l/s)</t>
  </si>
  <si>
    <t>Vannmengde pr rad (l/h)</t>
  </si>
  <si>
    <t>Temperaturdifferanse er:</t>
  </si>
  <si>
    <t>Sett inn dimensjonerende romtemperatur</t>
  </si>
  <si>
    <t>Sett inn dimensjonerende tur temperatur</t>
  </si>
  <si>
    <t>Sett inn dimensjonerende retur temperatur</t>
  </si>
  <si>
    <t>10.</t>
  </si>
  <si>
    <t>11.</t>
  </si>
  <si>
    <t>Velg koblingstype fra nedtrekkslisten</t>
  </si>
  <si>
    <t>Velg paneltype i nedtrekkslisten</t>
  </si>
  <si>
    <t>Total vannmengde</t>
  </si>
  <si>
    <t>Største trykkfall</t>
  </si>
  <si>
    <t>Rom størrelse</t>
  </si>
  <si>
    <t>Inn-data</t>
  </si>
  <si>
    <t>Rekkefølge</t>
  </si>
  <si>
    <t>Se prosjekteringshåndbøker</t>
  </si>
  <si>
    <t>Dimensjonering av takvarmepaneler ARENA og CASA</t>
  </si>
  <si>
    <t>For å opprettholde kontinuerlig produktutvikling forbeholder Lyngson AS seg retten til å endre tekniske spesifikasjoner uten forhåndsvarsel. Siste versjon finnes alltid på våre nettsider: www.lyngson.no</t>
  </si>
  <si>
    <t>www.lyngson.no</t>
  </si>
  <si>
    <t>Widerøeveien 1, 1360 Fornebu</t>
  </si>
  <si>
    <t>Tlf: 67 10 25 00</t>
  </si>
  <si>
    <t xml:space="preserve">Oslo </t>
  </si>
  <si>
    <t>Kristiansand</t>
  </si>
  <si>
    <t>Vigeland bruksvei 21, 4708 Vennesla</t>
  </si>
  <si>
    <t>Tlf: 48 84 40 92</t>
  </si>
  <si>
    <t>Trondheim</t>
  </si>
  <si>
    <t>Sluppenveien 25, 7037 Trondheim</t>
  </si>
  <si>
    <t>Tlf: 73 84 74 00</t>
  </si>
  <si>
    <t>Bergen</t>
  </si>
  <si>
    <t>Liamyrane 6, 5132 Nyborg</t>
  </si>
  <si>
    <t>Tlf: 90 84 59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</si>
</sst>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yyyy/mm/dd;@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64" fontId="1" fillId="2" borderId="6" xfId="0" applyNumberFormat="1" applyFont="1" applyFill="1" applyBorder="1" applyAlignment="1">
      <alignment vertical="center"/>
    </xf>
    <xf numFmtId="164" fontId="1" fillId="2" borderId="8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164" fontId="0" fillId="4" borderId="2" xfId="0" applyNumberForma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hidden="1"/>
    </xf>
    <xf numFmtId="1" fontId="0" fillId="4" borderId="2" xfId="0" applyNumberFormat="1" applyFill="1" applyBorder="1" applyAlignment="1" applyProtection="1">
      <alignment vertical="center"/>
      <protection hidden="1"/>
    </xf>
    <xf numFmtId="2" fontId="0" fillId="4" borderId="2" xfId="0" applyNumberFormat="1" applyFill="1" applyBorder="1" applyAlignment="1" applyProtection="1">
      <alignment vertical="center"/>
      <protection hidden="1"/>
    </xf>
    <xf numFmtId="164" fontId="0" fillId="4" borderId="2" xfId="0" applyNumberFormat="1" applyFill="1" applyBorder="1" applyAlignment="1" applyProtection="1">
      <alignment vertical="center"/>
      <protection hidden="1"/>
    </xf>
    <xf numFmtId="165" fontId="0" fillId="4" borderId="2" xfId="0" applyNumberFormat="1" applyFill="1" applyBorder="1" applyAlignment="1" applyProtection="1">
      <alignment vertical="center"/>
      <protection hidden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/>
    <xf numFmtId="0" fontId="0" fillId="0" borderId="15" xfId="0" applyBorder="1" applyAlignment="1">
      <alignment vertical="center"/>
    </xf>
    <xf numFmtId="0" fontId="0" fillId="0" borderId="16" xfId="0" applyBorder="1"/>
    <xf numFmtId="0" fontId="3" fillId="0" borderId="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0" fillId="0" borderId="12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2" borderId="0" xfId="0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6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/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" fontId="1" fillId="2" borderId="0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2" borderId="0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3" fillId="0" borderId="1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0" fillId="0" borderId="14" xfId="0" applyBorder="1"/>
    <xf numFmtId="0" fontId="0" fillId="0" borderId="13" xfId="0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8" fillId="0" borderId="12" xfId="1" applyBorder="1" applyAlignment="1">
      <alignment vertical="top" wrapText="1"/>
    </xf>
    <xf numFmtId="0" fontId="3" fillId="5" borderId="0" xfId="0" applyFont="1" applyFill="1" applyBorder="1"/>
    <xf numFmtId="0" fontId="0" fillId="5" borderId="0" xfId="0" applyFill="1" applyBorder="1"/>
    <xf numFmtId="0" fontId="3" fillId="5" borderId="12" xfId="0" applyFont="1" applyFill="1" applyBorder="1"/>
    <xf numFmtId="0" fontId="0" fillId="5" borderId="13" xfId="0" applyFill="1" applyBorder="1"/>
    <xf numFmtId="0" fontId="0" fillId="5" borderId="12" xfId="0" applyFill="1" applyBorder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189627</xdr:colOff>
      <xdr:row>1</xdr:row>
      <xdr:rowOff>11207</xdr:rowOff>
    </xdr:from>
    <xdr:to>
      <xdr:col>7</xdr:col>
      <xdr:colOff>448235</xdr:colOff>
      <xdr:row>4</xdr:row>
      <xdr:rowOff>34314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xmlns="" id="{29A3FA49-E239-4462-83E2-397827ACD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333" y="235325"/>
          <a:ext cx="4247902" cy="695460"/>
        </a:xfrm>
        <a:prstGeom prst="rect">
          <a:avLst/>
        </a:prstGeom>
      </xdr:spPr>
    </xdr:pic>
    <xdr:clientData/>
  </xdr:twoCellAnchor>
  <xdr:twoCellAnchor editAs="oneCell">
    <xdr:from>
      <xdr:col>11</xdr:col>
      <xdr:colOff>67238</xdr:colOff>
      <xdr:row>21</xdr:row>
      <xdr:rowOff>56108</xdr:rowOff>
    </xdr:from>
    <xdr:to>
      <xdr:col>14</xdr:col>
      <xdr:colOff>515472</xdr:colOff>
      <xdr:row>30</xdr:row>
      <xdr:rowOff>58336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07209" y="4874637"/>
          <a:ext cx="2263587" cy="2019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yngson.n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58"/>
  <sheetViews>
    <sheetView tabSelected="1" zoomScale="85" zoomScaleNormal="85" workbookViewId="0">
      <selection activeCell="B1" sqref="B1:O58"/>
    </sheetView>
  </sheetViews>
  <sheetFormatPr baseColWidth="10" defaultColWidth="9.140625" defaultRowHeight="15" x14ac:dyDescent="0.25"/>
  <cols>
    <col min="1" max="1" width="3" customWidth="1"/>
    <col min="2" max="2" width="23.85546875" customWidth="1"/>
    <col min="3" max="3" width="2.140625" customWidth="1"/>
    <col min="4" max="4" width="12.85546875" customWidth="1"/>
    <col min="5" max="5" width="6.5703125" customWidth="1"/>
    <col min="6" max="6" width="3.42578125" customWidth="1"/>
    <col min="7" max="7" width="11" customWidth="1"/>
    <col min="8" max="8" width="7.85546875" customWidth="1"/>
    <col min="9" max="9" width="3.42578125" customWidth="1"/>
    <col min="10" max="11" width="10" customWidth="1"/>
    <col min="15" max="15" width="9.5703125" customWidth="1"/>
  </cols>
  <sheetData>
    <row r="1" spans="2:15" ht="18" customHeight="1" x14ac:dyDescent="0.25">
      <c r="B1" s="67"/>
      <c r="C1" s="68"/>
      <c r="D1" s="68"/>
      <c r="E1" s="68"/>
      <c r="F1" s="68"/>
      <c r="G1" s="68"/>
      <c r="H1" s="68"/>
      <c r="I1" s="68"/>
      <c r="J1" s="80" t="s">
        <v>47</v>
      </c>
      <c r="K1" s="68"/>
      <c r="L1" s="68"/>
      <c r="M1" s="68"/>
      <c r="N1" s="68"/>
      <c r="O1" s="69"/>
    </row>
    <row r="2" spans="2:15" ht="18" customHeight="1" x14ac:dyDescent="0.25">
      <c r="B2" s="35"/>
      <c r="C2" s="36"/>
      <c r="D2" s="36"/>
      <c r="E2" s="36"/>
      <c r="F2" s="36"/>
      <c r="G2" s="36"/>
      <c r="H2" s="36"/>
      <c r="I2" s="36"/>
      <c r="J2" s="81"/>
      <c r="K2" s="82"/>
      <c r="L2" s="36"/>
      <c r="M2" s="36"/>
      <c r="N2" s="36"/>
      <c r="O2" s="37"/>
    </row>
    <row r="3" spans="2:15" ht="18" customHeight="1" x14ac:dyDescent="0.25">
      <c r="B3" s="35"/>
      <c r="C3" s="36"/>
      <c r="D3" s="36"/>
      <c r="E3" s="36"/>
      <c r="F3" s="36"/>
      <c r="G3" s="36"/>
      <c r="H3" s="36"/>
      <c r="I3" s="36"/>
      <c r="J3" s="81"/>
      <c r="K3" s="83"/>
      <c r="L3" s="36"/>
      <c r="M3" s="36"/>
      <c r="N3" s="36"/>
      <c r="O3" s="37"/>
    </row>
    <row r="4" spans="2:15" ht="18" customHeight="1" x14ac:dyDescent="0.25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2:15" ht="18" customHeight="1" x14ac:dyDescent="0.25"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</row>
    <row r="6" spans="2:15" ht="27" customHeight="1" thickBot="1" x14ac:dyDescent="0.3">
      <c r="B6" s="84" t="s">
        <v>101</v>
      </c>
      <c r="C6" s="85"/>
      <c r="D6" s="85"/>
      <c r="E6" s="85"/>
      <c r="F6" s="85"/>
      <c r="G6" s="85"/>
      <c r="H6" s="85"/>
      <c r="I6" s="85"/>
      <c r="J6" s="85"/>
      <c r="K6" s="85"/>
      <c r="L6" s="38"/>
      <c r="M6" s="38"/>
      <c r="N6" s="38"/>
      <c r="O6" s="39"/>
    </row>
    <row r="7" spans="2:15" ht="1.5" customHeight="1" thickBot="1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5" ht="41.25" customHeight="1" thickBot="1" x14ac:dyDescent="0.3">
      <c r="B8" s="60" t="s">
        <v>97</v>
      </c>
      <c r="C8" s="61"/>
      <c r="D8" s="62" t="s">
        <v>98</v>
      </c>
      <c r="E8" s="63"/>
      <c r="F8" s="61"/>
      <c r="G8" s="97" t="s">
        <v>99</v>
      </c>
      <c r="H8" s="97"/>
      <c r="I8" s="97"/>
      <c r="J8" s="97"/>
      <c r="K8" s="98"/>
      <c r="L8" s="64" t="s">
        <v>70</v>
      </c>
      <c r="M8" s="65"/>
      <c r="N8" s="65"/>
      <c r="O8" s="66"/>
    </row>
    <row r="9" spans="2:15" ht="9" customHeight="1" x14ac:dyDescent="0.25">
      <c r="B9" s="35"/>
      <c r="C9" s="36"/>
      <c r="D9" s="2"/>
      <c r="E9" s="3"/>
      <c r="F9" s="36"/>
      <c r="G9" s="15"/>
      <c r="H9" s="15"/>
      <c r="I9" s="15"/>
      <c r="J9" s="15"/>
      <c r="K9" s="76"/>
      <c r="L9" s="67"/>
      <c r="M9" s="68"/>
      <c r="N9" s="68"/>
      <c r="O9" s="69"/>
    </row>
    <row r="10" spans="2:15" ht="18" customHeight="1" x14ac:dyDescent="0.25">
      <c r="B10" s="35" t="s">
        <v>57</v>
      </c>
      <c r="C10" s="36"/>
      <c r="D10" s="22">
        <v>0</v>
      </c>
      <c r="E10" s="3" t="s">
        <v>11</v>
      </c>
      <c r="F10" s="77" t="s">
        <v>48</v>
      </c>
      <c r="G10" s="40" t="s">
        <v>61</v>
      </c>
      <c r="H10" s="40"/>
      <c r="I10" s="15"/>
      <c r="J10" s="15"/>
      <c r="K10" s="76"/>
      <c r="L10" s="35"/>
      <c r="M10" s="36"/>
      <c r="N10" s="36"/>
      <c r="O10" s="37"/>
    </row>
    <row r="11" spans="2:15" ht="18" customHeight="1" x14ac:dyDescent="0.25">
      <c r="B11" s="35" t="s">
        <v>58</v>
      </c>
      <c r="C11" s="36"/>
      <c r="D11" s="22">
        <v>0</v>
      </c>
      <c r="E11" s="3" t="s">
        <v>11</v>
      </c>
      <c r="F11" s="77" t="s">
        <v>49</v>
      </c>
      <c r="G11" s="40" t="s">
        <v>62</v>
      </c>
      <c r="H11" s="40"/>
      <c r="I11" s="15"/>
      <c r="J11" s="15"/>
      <c r="K11" s="76"/>
      <c r="L11" s="35"/>
      <c r="M11" s="36"/>
      <c r="N11" s="36"/>
      <c r="O11" s="37"/>
    </row>
    <row r="12" spans="2:15" ht="18" customHeight="1" x14ac:dyDescent="0.25">
      <c r="B12" s="35" t="s">
        <v>59</v>
      </c>
      <c r="C12" s="36"/>
      <c r="D12" s="22">
        <v>0</v>
      </c>
      <c r="E12" s="3" t="s">
        <v>11</v>
      </c>
      <c r="F12" s="77" t="s">
        <v>50</v>
      </c>
      <c r="G12" s="40" t="s">
        <v>63</v>
      </c>
      <c r="H12" s="40"/>
      <c r="I12" s="15"/>
      <c r="J12" s="15"/>
      <c r="K12" s="76"/>
      <c r="L12" s="35"/>
      <c r="M12" s="36"/>
      <c r="N12" s="36"/>
      <c r="O12" s="37"/>
    </row>
    <row r="13" spans="2:15" ht="18" customHeight="1" x14ac:dyDescent="0.25">
      <c r="B13" s="35" t="s">
        <v>60</v>
      </c>
      <c r="C13" s="36"/>
      <c r="D13" s="19">
        <f>D10*D11</f>
        <v>0</v>
      </c>
      <c r="E13" s="3" t="s">
        <v>12</v>
      </c>
      <c r="F13" s="53"/>
      <c r="G13" s="15"/>
      <c r="H13" s="15"/>
      <c r="I13" s="15"/>
      <c r="J13" s="15"/>
      <c r="K13" s="76"/>
      <c r="L13" s="35"/>
      <c r="M13" s="36"/>
      <c r="N13" s="36"/>
      <c r="O13" s="37"/>
    </row>
    <row r="14" spans="2:15" ht="18" customHeight="1" x14ac:dyDescent="0.25">
      <c r="B14" s="35"/>
      <c r="C14" s="36"/>
      <c r="D14" s="2"/>
      <c r="E14" s="3"/>
      <c r="F14" s="53"/>
      <c r="G14" s="15"/>
      <c r="H14" s="15"/>
      <c r="I14" s="15"/>
      <c r="J14" s="15"/>
      <c r="K14" s="76"/>
      <c r="L14" s="35"/>
      <c r="M14" s="36"/>
      <c r="N14" s="36"/>
      <c r="O14" s="37"/>
    </row>
    <row r="15" spans="2:15" ht="18" customHeight="1" x14ac:dyDescent="0.25">
      <c r="B15" s="35" t="s">
        <v>64</v>
      </c>
      <c r="C15" s="36"/>
      <c r="D15" s="22">
        <v>20</v>
      </c>
      <c r="E15" s="3" t="s">
        <v>13</v>
      </c>
      <c r="F15" s="77" t="s">
        <v>51</v>
      </c>
      <c r="G15" s="40" t="s">
        <v>88</v>
      </c>
      <c r="H15" s="40"/>
      <c r="I15" s="15"/>
      <c r="J15" s="15"/>
      <c r="K15" s="76"/>
      <c r="L15" s="35"/>
      <c r="M15" s="36"/>
      <c r="N15" s="36"/>
      <c r="O15" s="37"/>
    </row>
    <row r="16" spans="2:15" ht="18" customHeight="1" x14ac:dyDescent="0.25">
      <c r="B16" s="35" t="s">
        <v>65</v>
      </c>
      <c r="C16" s="36"/>
      <c r="D16" s="22">
        <v>75</v>
      </c>
      <c r="E16" s="3" t="s">
        <v>13</v>
      </c>
      <c r="F16" s="77" t="s">
        <v>52</v>
      </c>
      <c r="G16" s="40" t="s">
        <v>89</v>
      </c>
      <c r="H16" s="15"/>
      <c r="I16" s="15"/>
      <c r="J16" s="15"/>
      <c r="K16" s="76"/>
      <c r="L16" s="35"/>
      <c r="M16" s="36"/>
      <c r="N16" s="36"/>
      <c r="O16" s="37"/>
    </row>
    <row r="17" spans="2:25" ht="18" customHeight="1" x14ac:dyDescent="0.25">
      <c r="B17" s="35" t="s">
        <v>66</v>
      </c>
      <c r="C17" s="36"/>
      <c r="D17" s="22">
        <v>65</v>
      </c>
      <c r="E17" s="3" t="s">
        <v>13</v>
      </c>
      <c r="F17" s="77" t="s">
        <v>53</v>
      </c>
      <c r="G17" s="40" t="s">
        <v>90</v>
      </c>
      <c r="H17" s="15"/>
      <c r="I17" s="15"/>
      <c r="J17" s="15"/>
      <c r="K17" s="37"/>
      <c r="L17" s="73" t="s">
        <v>87</v>
      </c>
      <c r="M17" s="74"/>
      <c r="N17" s="74"/>
      <c r="O17" s="75"/>
      <c r="P17" s="1"/>
      <c r="Y17" s="14"/>
    </row>
    <row r="18" spans="2:25" ht="18" customHeight="1" x14ac:dyDescent="0.25">
      <c r="B18" s="35" t="s">
        <v>67</v>
      </c>
      <c r="C18" s="36"/>
      <c r="D18" s="19">
        <f>((D16+D17)/2)-D15</f>
        <v>50</v>
      </c>
      <c r="E18" s="3" t="s">
        <v>13</v>
      </c>
      <c r="F18" s="53"/>
      <c r="G18" s="54"/>
      <c r="H18" s="15"/>
      <c r="I18" s="15"/>
      <c r="J18" s="15"/>
      <c r="K18" s="76"/>
      <c r="L18" s="72" t="s">
        <v>68</v>
      </c>
      <c r="M18" s="32"/>
      <c r="N18" s="32"/>
      <c r="O18" s="71"/>
    </row>
    <row r="19" spans="2:25" ht="18" customHeight="1" x14ac:dyDescent="0.25">
      <c r="B19" s="35"/>
      <c r="C19" s="36"/>
      <c r="D19" s="2"/>
      <c r="E19" s="3"/>
      <c r="F19" s="53"/>
      <c r="G19" s="15"/>
      <c r="H19" s="15"/>
      <c r="I19" s="15"/>
      <c r="J19" s="15"/>
      <c r="K19" s="76"/>
      <c r="L19" s="35"/>
      <c r="M19" s="36"/>
      <c r="N19" s="36"/>
      <c r="O19" s="37"/>
    </row>
    <row r="20" spans="2:25" ht="18" customHeight="1" thickBot="1" x14ac:dyDescent="0.3">
      <c r="B20" s="35" t="s">
        <v>1</v>
      </c>
      <c r="C20" s="36"/>
      <c r="D20" s="30" t="s">
        <v>30</v>
      </c>
      <c r="E20" s="31"/>
      <c r="F20" s="77" t="s">
        <v>54</v>
      </c>
      <c r="G20" s="78" t="s">
        <v>94</v>
      </c>
      <c r="H20" s="54"/>
      <c r="I20" s="15"/>
      <c r="J20" s="54"/>
      <c r="K20" s="37"/>
      <c r="L20" s="35"/>
      <c r="M20" s="36"/>
      <c r="N20" s="36"/>
      <c r="O20" s="37"/>
    </row>
    <row r="21" spans="2:25" ht="18" customHeight="1" x14ac:dyDescent="0.25">
      <c r="B21" s="35" t="s">
        <v>69</v>
      </c>
      <c r="C21" s="36"/>
      <c r="D21" s="30" t="s">
        <v>26</v>
      </c>
      <c r="E21" s="31"/>
      <c r="F21" s="77" t="s">
        <v>55</v>
      </c>
      <c r="G21" s="78" t="s">
        <v>93</v>
      </c>
      <c r="H21" s="54"/>
      <c r="I21" s="15"/>
      <c r="J21" s="15"/>
      <c r="K21" s="76"/>
      <c r="L21" s="41" t="s">
        <v>69</v>
      </c>
      <c r="M21" s="42"/>
      <c r="N21" s="42"/>
      <c r="O21" s="43"/>
    </row>
    <row r="22" spans="2:25" ht="18" customHeight="1" x14ac:dyDescent="0.25">
      <c r="B22" s="35" t="s">
        <v>58</v>
      </c>
      <c r="C22" s="36"/>
      <c r="D22" s="23">
        <f>VLOOKUP(D$20,Data!$A$3:$B$7,2,FALSE)</f>
        <v>615</v>
      </c>
      <c r="E22" s="3" t="s">
        <v>14</v>
      </c>
      <c r="F22" s="53"/>
      <c r="G22" s="15"/>
      <c r="H22" s="15"/>
      <c r="I22" s="15"/>
      <c r="J22" s="15"/>
      <c r="K22" s="76"/>
      <c r="L22" s="35"/>
      <c r="M22" s="36"/>
      <c r="N22" s="36"/>
      <c r="O22" s="37"/>
    </row>
    <row r="23" spans="2:25" ht="18" customHeight="1" x14ac:dyDescent="0.25">
      <c r="B23" s="35" t="s">
        <v>72</v>
      </c>
      <c r="C23" s="36"/>
      <c r="D23" s="23">
        <f>VLOOKUP(D$20,Data!$A$3:$C$7,3,FALSE)</f>
        <v>35</v>
      </c>
      <c r="E23" s="3" t="s">
        <v>14</v>
      </c>
      <c r="F23" s="53"/>
      <c r="G23" s="15"/>
      <c r="H23" s="15"/>
      <c r="I23" s="15"/>
      <c r="J23" s="15"/>
      <c r="K23" s="76"/>
      <c r="L23" s="35"/>
      <c r="M23" s="36"/>
      <c r="N23" s="36"/>
      <c r="O23" s="37"/>
    </row>
    <row r="24" spans="2:25" ht="18" customHeight="1" x14ac:dyDescent="0.25">
      <c r="B24" s="35" t="s">
        <v>73</v>
      </c>
      <c r="C24" s="36"/>
      <c r="D24" s="23">
        <f>(VLOOKUP(D20,Data!A3:M7,10,FALSE))*D31</f>
        <v>0</v>
      </c>
      <c r="E24" s="3" t="s">
        <v>15</v>
      </c>
      <c r="F24" s="53"/>
      <c r="G24" s="15"/>
      <c r="H24" s="15"/>
      <c r="I24" s="15"/>
      <c r="J24" s="15"/>
      <c r="K24" s="76"/>
      <c r="L24" s="35"/>
      <c r="M24" s="36"/>
      <c r="N24" s="36"/>
      <c r="O24" s="37"/>
    </row>
    <row r="25" spans="2:25" ht="18" customHeight="1" x14ac:dyDescent="0.25">
      <c r="B25" s="35" t="s">
        <v>74</v>
      </c>
      <c r="C25" s="36"/>
      <c r="D25" s="23">
        <f>(VLOOKUP(D20,Data!A3:M7,11,FALSE))*D31</f>
        <v>0</v>
      </c>
      <c r="E25" s="3" t="s">
        <v>15</v>
      </c>
      <c r="F25" s="53"/>
      <c r="G25" s="15"/>
      <c r="H25" s="15"/>
      <c r="I25" s="15"/>
      <c r="J25" s="15"/>
      <c r="K25" s="76"/>
      <c r="L25" s="35"/>
      <c r="M25" s="36"/>
      <c r="N25" s="36"/>
      <c r="O25" s="37"/>
    </row>
    <row r="26" spans="2:25" ht="18" customHeight="1" x14ac:dyDescent="0.25">
      <c r="B26" s="35" t="s">
        <v>75</v>
      </c>
      <c r="C26" s="36"/>
      <c r="D26" s="24">
        <f>VLOOKUP(D$20,Data!$A$3:$I$7,9,FALSE)</f>
        <v>261.89402437304568</v>
      </c>
      <c r="E26" s="3" t="s">
        <v>16</v>
      </c>
      <c r="F26" s="53"/>
      <c r="G26" s="16"/>
      <c r="H26" s="15"/>
      <c r="I26" s="15"/>
      <c r="J26" s="16"/>
      <c r="K26" s="76"/>
      <c r="L26" s="35"/>
      <c r="M26" s="36"/>
      <c r="N26" s="36"/>
      <c r="O26" s="37"/>
    </row>
    <row r="27" spans="2:25" ht="18" customHeight="1" x14ac:dyDescent="0.25">
      <c r="B27" s="35"/>
      <c r="C27" s="36"/>
      <c r="D27" s="2"/>
      <c r="E27" s="3"/>
      <c r="F27" s="53"/>
      <c r="G27" s="15"/>
      <c r="H27" s="15"/>
      <c r="I27" s="15"/>
      <c r="J27" s="15"/>
      <c r="K27" s="76"/>
      <c r="L27" s="35"/>
      <c r="M27" s="36"/>
      <c r="N27" s="36"/>
      <c r="O27" s="37"/>
    </row>
    <row r="28" spans="2:25" ht="18" customHeight="1" x14ac:dyDescent="0.25">
      <c r="B28" s="35" t="s">
        <v>76</v>
      </c>
      <c r="C28" s="36"/>
      <c r="D28" s="22">
        <v>0</v>
      </c>
      <c r="E28" s="3" t="s">
        <v>17</v>
      </c>
      <c r="F28" s="77" t="s">
        <v>56</v>
      </c>
      <c r="G28" s="40" t="s">
        <v>77</v>
      </c>
      <c r="H28" s="40"/>
      <c r="I28" s="40"/>
      <c r="J28" s="40"/>
      <c r="K28" s="76"/>
      <c r="L28" s="70"/>
      <c r="M28" s="54"/>
      <c r="N28" s="54"/>
      <c r="O28" s="37"/>
    </row>
    <row r="29" spans="2:25" ht="18" customHeight="1" x14ac:dyDescent="0.25">
      <c r="B29" s="35" t="s">
        <v>78</v>
      </c>
      <c r="C29" s="36"/>
      <c r="D29" s="23">
        <f>ROUNDUP(D$31/6,0)</f>
        <v>0</v>
      </c>
      <c r="E29" s="3" t="s">
        <v>17</v>
      </c>
      <c r="F29" s="77" t="s">
        <v>91</v>
      </c>
      <c r="G29" s="40" t="s">
        <v>79</v>
      </c>
      <c r="H29" s="40"/>
      <c r="I29" s="40"/>
      <c r="J29" s="40"/>
      <c r="K29" s="76"/>
      <c r="L29" s="70"/>
      <c r="M29" s="54"/>
      <c r="N29" s="54"/>
      <c r="O29" s="37"/>
    </row>
    <row r="30" spans="2:25" ht="18" customHeight="1" x14ac:dyDescent="0.25">
      <c r="B30" s="55" t="s">
        <v>80</v>
      </c>
      <c r="C30" s="36"/>
      <c r="D30" s="23">
        <f>VLOOKUP(D20,Data!A3:L7,12,FALSE)</f>
        <v>0</v>
      </c>
      <c r="E30" s="3" t="s">
        <v>11</v>
      </c>
      <c r="F30" s="77"/>
      <c r="G30" s="40"/>
      <c r="H30" s="40"/>
      <c r="I30" s="40"/>
      <c r="J30" s="40"/>
      <c r="K30" s="76"/>
      <c r="L30" s="35"/>
      <c r="M30" s="36"/>
      <c r="N30" s="36"/>
      <c r="O30" s="37"/>
    </row>
    <row r="31" spans="2:25" ht="18" customHeight="1" x14ac:dyDescent="0.25">
      <c r="B31" s="35" t="s">
        <v>81</v>
      </c>
      <c r="C31" s="36"/>
      <c r="D31" s="22">
        <v>0</v>
      </c>
      <c r="E31" s="3" t="s">
        <v>11</v>
      </c>
      <c r="F31" s="77" t="s">
        <v>92</v>
      </c>
      <c r="G31" s="40" t="s">
        <v>82</v>
      </c>
      <c r="H31" s="40"/>
      <c r="I31" s="40"/>
      <c r="J31" s="40"/>
      <c r="K31" s="76"/>
      <c r="L31" s="35"/>
      <c r="M31" s="36"/>
      <c r="N31" s="36"/>
      <c r="O31" s="37"/>
      <c r="S31" s="15"/>
      <c r="T31" s="15"/>
      <c r="U31" s="15"/>
      <c r="V31" s="15"/>
      <c r="W31" s="15"/>
    </row>
    <row r="32" spans="2:25" ht="18" customHeight="1" x14ac:dyDescent="0.25">
      <c r="B32" s="35"/>
      <c r="C32" s="36"/>
      <c r="D32" s="2"/>
      <c r="E32" s="3"/>
      <c r="F32" s="79"/>
      <c r="G32" s="40" t="s">
        <v>83</v>
      </c>
      <c r="H32" s="40"/>
      <c r="I32" s="40"/>
      <c r="J32" s="40"/>
      <c r="K32" s="76"/>
      <c r="L32" s="47" t="s">
        <v>71</v>
      </c>
      <c r="M32" s="48"/>
      <c r="N32" s="48"/>
      <c r="O32" s="49"/>
      <c r="S32" s="15"/>
      <c r="T32" s="15"/>
      <c r="U32" s="15"/>
      <c r="V32" s="15"/>
      <c r="W32" s="15"/>
    </row>
    <row r="33" spans="2:15" ht="18" customHeight="1" thickBot="1" x14ac:dyDescent="0.3">
      <c r="B33" s="35" t="s">
        <v>84</v>
      </c>
      <c r="C33" s="36"/>
      <c r="D33" s="24">
        <f>D26*D30</f>
        <v>0</v>
      </c>
      <c r="E33" s="3" t="s">
        <v>16</v>
      </c>
      <c r="F33" s="36"/>
      <c r="G33" s="16"/>
      <c r="H33" s="15"/>
      <c r="I33" s="15"/>
      <c r="J33" s="16"/>
      <c r="K33" s="76"/>
      <c r="L33" s="50"/>
      <c r="M33" s="51"/>
      <c r="N33" s="51"/>
      <c r="O33" s="52"/>
    </row>
    <row r="34" spans="2:15" ht="18" customHeight="1" x14ac:dyDescent="0.25">
      <c r="B34" s="35" t="s">
        <v>6</v>
      </c>
      <c r="C34" s="36"/>
      <c r="D34" s="25">
        <f>(D33*D28)/1000</f>
        <v>0</v>
      </c>
      <c r="E34" s="3" t="s">
        <v>18</v>
      </c>
      <c r="F34" s="36"/>
      <c r="G34" s="17"/>
      <c r="H34" s="15"/>
      <c r="I34" s="15"/>
      <c r="J34" s="17"/>
      <c r="K34" s="76"/>
      <c r="L34" s="67"/>
      <c r="M34" s="68"/>
      <c r="N34" s="68"/>
      <c r="O34" s="69"/>
    </row>
    <row r="35" spans="2:15" ht="18" customHeight="1" x14ac:dyDescent="0.25">
      <c r="B35" s="35" t="s">
        <v>7</v>
      </c>
      <c r="C35" s="36"/>
      <c r="D35" s="26" t="e">
        <f>IF(D10="",0,(D33*D28)/D13)</f>
        <v>#DIV/0!</v>
      </c>
      <c r="E35" s="3" t="s">
        <v>19</v>
      </c>
      <c r="F35" s="36"/>
      <c r="G35" s="17"/>
      <c r="H35" s="15"/>
      <c r="I35" s="15"/>
      <c r="J35" s="17"/>
      <c r="K35" s="76"/>
      <c r="L35" s="35"/>
      <c r="M35" s="36"/>
      <c r="N35" s="36"/>
      <c r="O35" s="37"/>
    </row>
    <row r="36" spans="2:15" ht="18" customHeight="1" x14ac:dyDescent="0.25">
      <c r="B36" s="35" t="s">
        <v>85</v>
      </c>
      <c r="C36" s="36"/>
      <c r="D36" s="27">
        <f>(D$33/(1.164*(D$16-D$17)))/3600</f>
        <v>0</v>
      </c>
      <c r="E36" s="3" t="s">
        <v>20</v>
      </c>
      <c r="F36" s="36"/>
      <c r="G36" s="18"/>
      <c r="H36" s="15"/>
      <c r="I36" s="15"/>
      <c r="J36" s="18"/>
      <c r="K36" s="76"/>
      <c r="L36" s="35"/>
      <c r="M36" s="36"/>
      <c r="N36" s="36"/>
      <c r="O36" s="37"/>
    </row>
    <row r="37" spans="2:15" ht="18" customHeight="1" x14ac:dyDescent="0.25">
      <c r="B37" s="35" t="s">
        <v>86</v>
      </c>
      <c r="C37" s="36"/>
      <c r="D37" s="24">
        <f>D$36*3600</f>
        <v>0</v>
      </c>
      <c r="E37" s="3" t="s">
        <v>21</v>
      </c>
      <c r="F37" s="36"/>
      <c r="G37" s="16"/>
      <c r="H37" s="15"/>
      <c r="I37" s="15"/>
      <c r="J37" s="16"/>
      <c r="K37" s="76"/>
      <c r="L37" s="35"/>
      <c r="M37" s="36"/>
      <c r="N37" s="36"/>
      <c r="O37" s="37"/>
    </row>
    <row r="38" spans="2:15" ht="18" hidden="1" customHeight="1" x14ac:dyDescent="0.25">
      <c r="B38" s="56" t="s">
        <v>8</v>
      </c>
      <c r="C38" s="36"/>
      <c r="D38" s="20"/>
      <c r="E38" s="3" t="s">
        <v>22</v>
      </c>
      <c r="F38" s="36"/>
      <c r="G38" s="17"/>
      <c r="H38" s="15"/>
      <c r="I38" s="15"/>
      <c r="J38" s="17"/>
      <c r="K38" s="76"/>
      <c r="L38" s="35"/>
      <c r="M38" s="36"/>
      <c r="N38" s="36"/>
      <c r="O38" s="37"/>
    </row>
    <row r="39" spans="2:15" ht="18" customHeight="1" x14ac:dyDescent="0.25">
      <c r="B39" s="35"/>
      <c r="C39" s="36"/>
      <c r="D39" s="2"/>
      <c r="E39" s="3"/>
      <c r="F39" s="36"/>
      <c r="G39" s="15"/>
      <c r="H39" s="15"/>
      <c r="I39" s="15"/>
      <c r="J39" s="15"/>
      <c r="K39" s="76"/>
      <c r="L39" s="35"/>
      <c r="M39" s="36"/>
      <c r="N39" s="36"/>
      <c r="O39" s="37"/>
    </row>
    <row r="40" spans="2:15" ht="18" customHeight="1" x14ac:dyDescent="0.25">
      <c r="B40" s="35" t="s">
        <v>9</v>
      </c>
      <c r="C40" s="36"/>
      <c r="D40" s="19">
        <f>D28*D29</f>
        <v>0</v>
      </c>
      <c r="E40" s="3" t="s">
        <v>17</v>
      </c>
      <c r="F40" s="36"/>
      <c r="G40" s="15"/>
      <c r="H40" s="15"/>
      <c r="I40" s="15"/>
      <c r="J40" s="15"/>
      <c r="K40" s="76"/>
      <c r="L40" s="35"/>
      <c r="M40" s="36"/>
      <c r="N40" s="36"/>
      <c r="O40" s="37"/>
    </row>
    <row r="41" spans="2:15" ht="18" customHeight="1" x14ac:dyDescent="0.25">
      <c r="B41" s="55" t="s">
        <v>10</v>
      </c>
      <c r="C41" s="36"/>
      <c r="D41" s="21">
        <f>D40*6</f>
        <v>0</v>
      </c>
      <c r="E41" s="4" t="s">
        <v>17</v>
      </c>
      <c r="F41" s="36"/>
      <c r="G41" s="15"/>
      <c r="H41" s="15"/>
      <c r="I41" s="15"/>
      <c r="J41" s="15"/>
      <c r="K41" s="76"/>
      <c r="L41" s="35"/>
      <c r="M41" s="36"/>
      <c r="N41" s="36"/>
      <c r="O41" s="37"/>
    </row>
    <row r="42" spans="2:15" x14ac:dyDescent="0.25">
      <c r="B42" s="35"/>
      <c r="C42" s="36"/>
      <c r="D42" s="36"/>
      <c r="E42" s="36"/>
      <c r="F42" s="36"/>
      <c r="G42" s="36"/>
      <c r="H42" s="36"/>
      <c r="I42" s="36"/>
      <c r="J42" s="36"/>
      <c r="K42" s="102"/>
      <c r="L42" s="35"/>
      <c r="M42" s="36"/>
      <c r="N42" s="36"/>
      <c r="O42" s="37"/>
    </row>
    <row r="43" spans="2:15" ht="23.25" customHeight="1" x14ac:dyDescent="0.25">
      <c r="B43" s="57" t="s">
        <v>6</v>
      </c>
      <c r="C43" s="5"/>
      <c r="D43" s="12">
        <f>D34+G34+J34</f>
        <v>0</v>
      </c>
      <c r="E43" s="6" t="s">
        <v>18</v>
      </c>
      <c r="F43" s="36"/>
      <c r="G43" s="28" t="s">
        <v>25</v>
      </c>
      <c r="H43" s="29"/>
      <c r="I43" s="29"/>
      <c r="J43" s="13" t="e">
        <f>D35+G35+J35</f>
        <v>#DIV/0!</v>
      </c>
      <c r="K43" s="103" t="s">
        <v>19</v>
      </c>
      <c r="L43" s="35"/>
      <c r="M43" s="36"/>
      <c r="N43" s="36"/>
      <c r="O43" s="37"/>
    </row>
    <row r="44" spans="2:15" s="96" customFormat="1" ht="23.25" customHeight="1" x14ac:dyDescent="0.25">
      <c r="B44" s="87" t="s">
        <v>95</v>
      </c>
      <c r="C44" s="88"/>
      <c r="D44" s="89">
        <f>(D37*D28)</f>
        <v>0</v>
      </c>
      <c r="E44" s="90" t="s">
        <v>21</v>
      </c>
      <c r="F44" s="91"/>
      <c r="G44" s="92" t="s">
        <v>24</v>
      </c>
      <c r="H44" s="92"/>
      <c r="I44" s="92"/>
      <c r="J44" s="93">
        <f>D40+G40+J40</f>
        <v>0</v>
      </c>
      <c r="K44" s="104" t="s">
        <v>17</v>
      </c>
      <c r="L44" s="94"/>
      <c r="M44" s="91"/>
      <c r="N44" s="91"/>
      <c r="O44" s="95"/>
    </row>
    <row r="45" spans="2:15" ht="23.25" customHeight="1" thickBot="1" x14ac:dyDescent="0.3">
      <c r="B45" s="58" t="s">
        <v>96</v>
      </c>
      <c r="C45" s="7"/>
      <c r="D45" s="99"/>
      <c r="E45" s="100" t="s">
        <v>100</v>
      </c>
      <c r="F45" s="36"/>
      <c r="G45" s="44" t="s">
        <v>23</v>
      </c>
      <c r="H45" s="44"/>
      <c r="I45" s="44"/>
      <c r="J45" s="59">
        <f>D41+G41+J41</f>
        <v>0</v>
      </c>
      <c r="K45" s="102" t="s">
        <v>17</v>
      </c>
      <c r="L45" s="35"/>
      <c r="M45" s="36"/>
      <c r="N45" s="36"/>
      <c r="O45" s="37"/>
    </row>
    <row r="46" spans="2:15" ht="9" customHeight="1" x14ac:dyDescent="0.25"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</row>
    <row r="47" spans="2:15" ht="15" customHeight="1" x14ac:dyDescent="0.25">
      <c r="B47" s="45" t="s">
        <v>102</v>
      </c>
      <c r="C47" s="46"/>
      <c r="D47" s="46"/>
      <c r="E47" s="46"/>
      <c r="F47" s="46"/>
      <c r="G47" s="46"/>
      <c r="H47" s="46"/>
      <c r="I47" s="46"/>
      <c r="J47" s="46"/>
      <c r="K47" s="46"/>
      <c r="L47" s="36"/>
      <c r="M47" s="36"/>
      <c r="N47" s="36"/>
      <c r="O47" s="37"/>
    </row>
    <row r="48" spans="2:15" x14ac:dyDescent="0.25"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36"/>
      <c r="M48" s="36"/>
      <c r="N48" s="36"/>
      <c r="O48" s="37"/>
    </row>
    <row r="49" spans="2:15" x14ac:dyDescent="0.25">
      <c r="B49" s="106" t="s">
        <v>103</v>
      </c>
      <c r="C49" s="105"/>
      <c r="D49" s="105"/>
      <c r="E49" s="105"/>
      <c r="F49" s="105"/>
      <c r="G49" s="105"/>
      <c r="H49" s="105"/>
      <c r="I49" s="105"/>
      <c r="J49" s="105"/>
      <c r="K49" s="105"/>
      <c r="L49" s="36"/>
      <c r="M49" s="36"/>
      <c r="N49" s="36"/>
      <c r="O49" s="37"/>
    </row>
    <row r="50" spans="2:15" ht="6" customHeight="1" x14ac:dyDescent="0.25"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7"/>
    </row>
    <row r="51" spans="2:15" x14ac:dyDescent="0.25">
      <c r="B51" s="109" t="s">
        <v>106</v>
      </c>
      <c r="C51" s="108"/>
      <c r="D51" s="108"/>
      <c r="E51" s="108"/>
      <c r="F51" s="108"/>
      <c r="G51" s="107" t="s">
        <v>110</v>
      </c>
      <c r="H51" s="108"/>
      <c r="I51" s="108"/>
      <c r="J51" s="108"/>
      <c r="K51" s="108"/>
      <c r="L51" s="108"/>
      <c r="M51" s="108"/>
      <c r="N51" s="108"/>
      <c r="O51" s="110"/>
    </row>
    <row r="52" spans="2:15" x14ac:dyDescent="0.25">
      <c r="B52" s="111" t="s">
        <v>104</v>
      </c>
      <c r="C52" s="108"/>
      <c r="D52" s="108"/>
      <c r="E52" s="108"/>
      <c r="F52" s="108"/>
      <c r="G52" s="108" t="s">
        <v>111</v>
      </c>
      <c r="H52" s="108"/>
      <c r="I52" s="108"/>
      <c r="J52" s="108"/>
      <c r="K52" s="108"/>
      <c r="L52" s="108"/>
      <c r="M52" s="108"/>
      <c r="N52" s="108"/>
      <c r="O52" s="110"/>
    </row>
    <row r="53" spans="2:15" x14ac:dyDescent="0.25">
      <c r="B53" s="111" t="s">
        <v>105</v>
      </c>
      <c r="C53" s="108"/>
      <c r="D53" s="108"/>
      <c r="E53" s="108"/>
      <c r="F53" s="108"/>
      <c r="G53" s="108" t="s">
        <v>112</v>
      </c>
      <c r="H53" s="108"/>
      <c r="I53" s="108"/>
      <c r="J53" s="108"/>
      <c r="K53" s="108"/>
      <c r="L53" s="108"/>
      <c r="M53" s="108"/>
      <c r="N53" s="108"/>
      <c r="O53" s="110"/>
    </row>
    <row r="54" spans="2:15" ht="4.5" customHeight="1" x14ac:dyDescent="0.25">
      <c r="B54" s="111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10"/>
    </row>
    <row r="55" spans="2:15" x14ac:dyDescent="0.25">
      <c r="B55" s="109" t="s">
        <v>107</v>
      </c>
      <c r="C55" s="108"/>
      <c r="D55" s="108"/>
      <c r="E55" s="108"/>
      <c r="F55" s="108"/>
      <c r="G55" s="107" t="s">
        <v>113</v>
      </c>
      <c r="H55" s="108"/>
      <c r="I55" s="108"/>
      <c r="J55" s="108"/>
      <c r="K55" s="108"/>
      <c r="L55" s="108"/>
      <c r="M55" s="108"/>
      <c r="N55" s="108"/>
      <c r="O55" s="110"/>
    </row>
    <row r="56" spans="2:15" x14ac:dyDescent="0.25">
      <c r="B56" s="111" t="s">
        <v>108</v>
      </c>
      <c r="C56" s="108"/>
      <c r="D56" s="108"/>
      <c r="E56" s="108"/>
      <c r="F56" s="108"/>
      <c r="G56" s="108" t="s">
        <v>114</v>
      </c>
      <c r="H56" s="108"/>
      <c r="I56" s="108"/>
      <c r="J56" s="108"/>
      <c r="K56" s="108"/>
      <c r="L56" s="108"/>
      <c r="M56" s="108"/>
      <c r="N56" s="108"/>
      <c r="O56" s="110"/>
    </row>
    <row r="57" spans="2:15" x14ac:dyDescent="0.25">
      <c r="B57" s="111" t="s">
        <v>109</v>
      </c>
      <c r="C57" s="108"/>
      <c r="D57" s="108"/>
      <c r="E57" s="108"/>
      <c r="F57" s="108"/>
      <c r="G57" s="108" t="s">
        <v>115</v>
      </c>
      <c r="H57" s="108"/>
      <c r="I57" s="108"/>
      <c r="J57" s="108"/>
      <c r="K57" s="108"/>
      <c r="L57" s="108"/>
      <c r="M57" s="108"/>
      <c r="N57" s="108"/>
      <c r="O57" s="110"/>
    </row>
    <row r="58" spans="2:15" ht="15.75" thickBot="1" x14ac:dyDescent="0.3">
      <c r="B58" s="101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39"/>
    </row>
  </sheetData>
  <sheetProtection password="E2E9" sheet="1" objects="1" scenarios="1"/>
  <dataConsolidate/>
  <mergeCells count="14">
    <mergeCell ref="B47:K48"/>
    <mergeCell ref="L8:O8"/>
    <mergeCell ref="L32:O33"/>
    <mergeCell ref="L21:O21"/>
    <mergeCell ref="L18:O18"/>
    <mergeCell ref="L17:O17"/>
    <mergeCell ref="G8:K8"/>
    <mergeCell ref="G44:I44"/>
    <mergeCell ref="G45:I45"/>
    <mergeCell ref="G43:I43"/>
    <mergeCell ref="B6:K6"/>
    <mergeCell ref="D8:E8"/>
    <mergeCell ref="D20:E20"/>
    <mergeCell ref="D21:E21"/>
  </mergeCells>
  <dataValidations count="2">
    <dataValidation type="list" showInputMessage="1" showErrorMessage="1" sqref="D20:E20 Y17">
      <formula1>Panelmodell</formula1>
    </dataValidation>
    <dataValidation type="list" allowBlank="1" showInputMessage="1" showErrorMessage="1" error="Fel kopplingstyp" prompt="&quot;S&quot; finns inte för Casa 400 &amp; Arena 615" sqref="D21:E21 J21:K21">
      <formula1>Kopplingstyp1</formula1>
    </dataValidation>
  </dataValidations>
  <hyperlinks>
    <hyperlink ref="B49" r:id="rId1"/>
  </hyperlinks>
  <printOptions horizontalCentered="1" verticalCentered="1"/>
  <pageMargins left="0.70866141732283472" right="0.31496062992125984" top="0.15748031496062992" bottom="0.35433070866141736" header="0.11811023622047245" footer="0.11811023622047245"/>
  <pageSetup paperSize="9" scale="7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topLeftCell="A2" workbookViewId="0">
      <selection activeCell="E25" sqref="E25"/>
    </sheetView>
  </sheetViews>
  <sheetFormatPr baseColWidth="10" defaultColWidth="9.140625" defaultRowHeight="15" x14ac:dyDescent="0.25"/>
  <cols>
    <col min="4" max="4" width="8.85546875" customWidth="1"/>
    <col min="7" max="7" width="17.5703125" customWidth="1"/>
    <col min="8" max="8" width="16.85546875" customWidth="1"/>
    <col min="10" max="10" width="13.7109375" customWidth="1"/>
    <col min="11" max="11" width="15.5703125" customWidth="1"/>
    <col min="12" max="12" width="11.140625" customWidth="1"/>
    <col min="13" max="13" width="11.7109375" customWidth="1"/>
    <col min="14" max="15" width="10.7109375" customWidth="1"/>
  </cols>
  <sheetData>
    <row r="2" spans="1:13" x14ac:dyDescent="0.25">
      <c r="A2" s="8" t="s">
        <v>32</v>
      </c>
      <c r="B2" s="8" t="s">
        <v>0</v>
      </c>
      <c r="C2" s="8" t="s">
        <v>33</v>
      </c>
      <c r="D2" s="34" t="s">
        <v>2</v>
      </c>
      <c r="E2" s="33"/>
      <c r="F2" s="33"/>
      <c r="G2" s="8" t="s">
        <v>37</v>
      </c>
      <c r="H2" s="8" t="s">
        <v>36</v>
      </c>
      <c r="I2" s="8" t="s">
        <v>38</v>
      </c>
      <c r="J2" s="8" t="s">
        <v>45</v>
      </c>
      <c r="K2" s="8" t="s">
        <v>46</v>
      </c>
      <c r="L2" s="8" t="s">
        <v>44</v>
      </c>
      <c r="M2" s="8" t="s">
        <v>4</v>
      </c>
    </row>
    <row r="3" spans="1:13" x14ac:dyDescent="0.25">
      <c r="A3" t="s">
        <v>27</v>
      </c>
      <c r="B3">
        <v>400</v>
      </c>
      <c r="C3">
        <v>12</v>
      </c>
      <c r="D3" t="s">
        <v>26</v>
      </c>
      <c r="E3" t="s">
        <v>34</v>
      </c>
      <c r="F3" t="s">
        <v>35</v>
      </c>
      <c r="G3" s="11">
        <f>4.0357*Blad1!D18-8.39</f>
        <v>193.39500000000004</v>
      </c>
      <c r="H3" s="11">
        <f>3.8*Blad1!D18</f>
        <v>190</v>
      </c>
      <c r="I3" s="11">
        <f>IF(Blad1!D18&lt;25,H3,G3)</f>
        <v>193.39500000000004</v>
      </c>
      <c r="J3">
        <v>2</v>
      </c>
      <c r="K3">
        <v>2.5</v>
      </c>
      <c r="L3">
        <f>M3</f>
        <v>0</v>
      </c>
      <c r="M3">
        <f>Blad1!D31</f>
        <v>0</v>
      </c>
    </row>
    <row r="4" spans="1:13" x14ac:dyDescent="0.25">
      <c r="A4" t="s">
        <v>28</v>
      </c>
      <c r="B4">
        <v>800</v>
      </c>
      <c r="C4">
        <v>15</v>
      </c>
      <c r="D4" t="s">
        <v>26</v>
      </c>
      <c r="E4" t="s">
        <v>34</v>
      </c>
      <c r="F4" t="s">
        <v>35</v>
      </c>
      <c r="G4" s="9">
        <f>7.9881*Blad1!D18-15.119</f>
        <v>384.28600000000006</v>
      </c>
      <c r="H4" s="9">
        <f>7.6*Blad1!D18</f>
        <v>380</v>
      </c>
      <c r="I4" s="11">
        <f>IF(Blad1!D18&lt;25,H4,G4)</f>
        <v>384.28600000000006</v>
      </c>
      <c r="J4">
        <v>4</v>
      </c>
      <c r="K4">
        <v>5</v>
      </c>
      <c r="L4">
        <f>M4</f>
        <v>0</v>
      </c>
      <c r="M4">
        <f>Blad1!D31</f>
        <v>0</v>
      </c>
    </row>
    <row r="5" spans="1:13" x14ac:dyDescent="0.25">
      <c r="A5" t="s">
        <v>29</v>
      </c>
      <c r="B5">
        <v>1200</v>
      </c>
      <c r="C5">
        <v>15</v>
      </c>
      <c r="D5" t="s">
        <v>26</v>
      </c>
      <c r="E5" t="s">
        <v>34</v>
      </c>
      <c r="F5" t="s">
        <v>35</v>
      </c>
      <c r="G5" s="10">
        <f>12.024*Blad1!D18-24.762</f>
        <v>576.43799999999987</v>
      </c>
      <c r="H5" s="10">
        <f>11.4*Blad1!D18</f>
        <v>570</v>
      </c>
      <c r="I5" s="11">
        <f>IF(Blad1!D20&lt;25,H5,G5)</f>
        <v>576.43799999999987</v>
      </c>
      <c r="J5">
        <v>6</v>
      </c>
      <c r="K5">
        <v>7.5</v>
      </c>
      <c r="L5">
        <f>M5</f>
        <v>0</v>
      </c>
      <c r="M5">
        <f>Blad1!D31</f>
        <v>0</v>
      </c>
    </row>
    <row r="6" spans="1:13" x14ac:dyDescent="0.25">
      <c r="A6" t="s">
        <v>30</v>
      </c>
      <c r="B6">
        <v>615</v>
      </c>
      <c r="C6">
        <v>35</v>
      </c>
      <c r="D6" t="s">
        <v>26</v>
      </c>
      <c r="E6" t="s">
        <v>34</v>
      </c>
      <c r="F6" t="s">
        <v>35</v>
      </c>
      <c r="G6" s="11"/>
      <c r="I6" s="11">
        <f>2.4647*Blad1!D18^1.1927</f>
        <v>261.89402437304568</v>
      </c>
      <c r="J6">
        <v>4.5</v>
      </c>
      <c r="K6">
        <v>7</v>
      </c>
      <c r="L6">
        <f>M6-(Blad1!D29*0.5)</f>
        <v>0</v>
      </c>
      <c r="M6">
        <f>Blad1!D31</f>
        <v>0</v>
      </c>
    </row>
    <row r="7" spans="1:13" x14ac:dyDescent="0.25">
      <c r="A7" t="s">
        <v>31</v>
      </c>
      <c r="B7">
        <v>900</v>
      </c>
      <c r="C7">
        <v>35</v>
      </c>
      <c r="D7" t="s">
        <v>26</v>
      </c>
      <c r="E7" t="s">
        <v>34</v>
      </c>
      <c r="F7" t="s">
        <v>35</v>
      </c>
      <c r="I7" s="11">
        <f>3.8271*Blad1!D18^1.1902</f>
        <v>402.70211395237391</v>
      </c>
      <c r="J7">
        <v>7.5</v>
      </c>
      <c r="K7">
        <v>11</v>
      </c>
      <c r="L7">
        <f>M7-(Blad1!D29*0.5)</f>
        <v>0</v>
      </c>
      <c r="M7">
        <f>Blad1!D31</f>
        <v>0</v>
      </c>
    </row>
    <row r="16" spans="1:13" x14ac:dyDescent="0.25">
      <c r="B16" s="33" t="s">
        <v>39</v>
      </c>
      <c r="C16" s="33"/>
      <c r="D16" s="33"/>
      <c r="E16" s="33" t="s">
        <v>40</v>
      </c>
      <c r="F16" s="33"/>
      <c r="G16" s="33"/>
      <c r="H16" s="33" t="s">
        <v>41</v>
      </c>
      <c r="I16" s="33"/>
      <c r="J16" s="33"/>
    </row>
    <row r="17" spans="1:10" x14ac:dyDescent="0.25">
      <c r="B17" s="8" t="s">
        <v>3</v>
      </c>
      <c r="C17" s="8" t="s">
        <v>5</v>
      </c>
      <c r="D17" s="8" t="s">
        <v>4</v>
      </c>
      <c r="E17" s="8" t="s">
        <v>3</v>
      </c>
      <c r="F17" s="8" t="s">
        <v>5</v>
      </c>
      <c r="G17" s="8" t="s">
        <v>4</v>
      </c>
      <c r="H17" s="8" t="s">
        <v>3</v>
      </c>
      <c r="I17" s="8" t="s">
        <v>5</v>
      </c>
      <c r="J17" s="8" t="s">
        <v>4</v>
      </c>
    </row>
    <row r="18" spans="1:10" x14ac:dyDescent="0.25">
      <c r="A18" t="s">
        <v>42</v>
      </c>
      <c r="C18">
        <f>$D18</f>
        <v>0</v>
      </c>
      <c r="D18">
        <f>Blad1!$D$31</f>
        <v>0</v>
      </c>
      <c r="F18" t="str">
        <f>$G18</f>
        <v>Angi ønsket lengde pr rad</v>
      </c>
      <c r="G18" t="str">
        <f>Blad1!$G$31</f>
        <v>Angi ønsket lengde pr rad</v>
      </c>
      <c r="I18">
        <f>$J18</f>
        <v>0</v>
      </c>
      <c r="J18">
        <f>Blad1!$J$31</f>
        <v>0</v>
      </c>
    </row>
    <row r="19" spans="1:10" x14ac:dyDescent="0.25">
      <c r="A19" t="s">
        <v>42</v>
      </c>
      <c r="C19">
        <f t="shared" ref="C19:C20" si="0">$D19</f>
        <v>0</v>
      </c>
      <c r="D19">
        <f>Blad1!$D$31</f>
        <v>0</v>
      </c>
      <c r="F19" t="str">
        <f t="shared" ref="F19:F20" si="1">$G19</f>
        <v>Angi ønsket lengde pr rad</v>
      </c>
      <c r="G19" t="str">
        <f>Blad1!$G$31</f>
        <v>Angi ønsket lengde pr rad</v>
      </c>
      <c r="I19">
        <f t="shared" ref="I19:I20" si="2">$J19</f>
        <v>0</v>
      </c>
      <c r="J19">
        <f>Blad1!$J$31</f>
        <v>0</v>
      </c>
    </row>
    <row r="20" spans="1:10" x14ac:dyDescent="0.25">
      <c r="A20" t="s">
        <v>42</v>
      </c>
      <c r="C20">
        <f t="shared" si="0"/>
        <v>0</v>
      </c>
      <c r="D20">
        <f>Blad1!$D$31</f>
        <v>0</v>
      </c>
      <c r="F20" t="str">
        <f t="shared" si="1"/>
        <v>Angi ønsket lengde pr rad</v>
      </c>
      <c r="G20" t="str">
        <f>Blad1!$G$31</f>
        <v>Angi ønsket lengde pr rad</v>
      </c>
      <c r="I20">
        <f t="shared" si="2"/>
        <v>0</v>
      </c>
      <c r="J20">
        <f>Blad1!$J$31</f>
        <v>0</v>
      </c>
    </row>
    <row r="21" spans="1:10" x14ac:dyDescent="0.25">
      <c r="A21" t="s">
        <v>43</v>
      </c>
      <c r="C21">
        <f>Blad1!$D$31-(Blad1!$D$29*0.5)</f>
        <v>0</v>
      </c>
      <c r="F21" t="e">
        <f>Blad1!$G$31-(Blad1!$G$29*0.5)</f>
        <v>#VALUE!</v>
      </c>
      <c r="I21">
        <f>Blad1!$J$31-(Blad1!$J$29*0.5)</f>
        <v>0</v>
      </c>
    </row>
    <row r="22" spans="1:10" x14ac:dyDescent="0.25">
      <c r="A22" t="s">
        <v>43</v>
      </c>
      <c r="C22">
        <f>Blad1!$D$31-(Blad1!$D$29*0.5)</f>
        <v>0</v>
      </c>
      <c r="F22" t="e">
        <f>Blad1!$G$31-(Blad1!$G$29*0.5)</f>
        <v>#VALUE!</v>
      </c>
      <c r="I22">
        <f>Blad1!$J$31-(Blad1!$J$29*0.5)</f>
        <v>0</v>
      </c>
    </row>
  </sheetData>
  <mergeCells count="4">
    <mergeCell ref="H16:J16"/>
    <mergeCell ref="D2:F2"/>
    <mergeCell ref="B16:D16"/>
    <mergeCell ref="E16:G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4</vt:i4>
      </vt:variant>
    </vt:vector>
  </HeadingPairs>
  <TitlesOfParts>
    <vt:vector size="6" baseType="lpstr">
      <vt:lpstr>Blad1</vt:lpstr>
      <vt:lpstr>Data</vt:lpstr>
      <vt:lpstr>kopl400</vt:lpstr>
      <vt:lpstr>Kopplingstyp1</vt:lpstr>
      <vt:lpstr>Panelmodell</vt:lpstr>
      <vt:lpstr>Blad1!Utskriftsområde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Per Gunnar</cp:lastModifiedBy>
  <cp:lastPrinted>2017-05-05T09:40:08Z</cp:lastPrinted>
  <dcterms:created xsi:type="dcterms:W3CDTF">2016-11-15T05:51:33Z</dcterms:created>
  <dcterms:modified xsi:type="dcterms:W3CDTF">2017-05-05T09:41:34Z</dcterms:modified>
</cp:coreProperties>
</file>