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gu\Dropbox (LYNGSON Group)\Lyngson AS Team folder\Beregningsprogrammer\Effektkalkulatorer gjeldende\"/>
    </mc:Choice>
  </mc:AlternateContent>
  <xr:revisionPtr revIDLastSave="0" documentId="8_{AA038E39-3AEB-4089-B06C-A23959F6DC35}" xr6:coauthVersionLast="45" xr6:coauthVersionMax="45" xr10:uidLastSave="{00000000-0000-0000-0000-000000000000}"/>
  <workbookProtection workbookAlgorithmName="SHA-512" workbookHashValue="m1F/a8a7oA+ivH2UnLb7gTnetelmvmbSbhAql0Blrl4kv3JwBfjgNGfT506kWuYbVezzQaHD/iMP2xvWJ7dtiQ==" workbookSaltValue="BZ7By3WZdg6zBhMlKT5g3A==" workbookSpinCount="100000" lockStructure="1"/>
  <bookViews>
    <workbookView xWindow="-120" yWindow="-120" windowWidth="29040" windowHeight="15840" xr2:uid="{00000000-000D-0000-FFFF-FFFF00000000}"/>
  </bookViews>
  <sheets>
    <sheet name="Blad1" sheetId="1" r:id="rId1"/>
    <sheet name="Effektfaktor" sheetId="2" state="hidden" r:id="rId2"/>
    <sheet name="Tryckfall" sheetId="3" state="hidden" r:id="rId3"/>
  </sheets>
  <definedNames>
    <definedName name="_xlnm.Print_Area" localSheetId="0">Blad1!$A$1:$Q$45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A23" i="1"/>
  <c r="C23" i="1"/>
  <c r="C22" i="1"/>
  <c r="C29" i="1"/>
  <c r="C28" i="1"/>
  <c r="B29" i="1"/>
  <c r="B28" i="1"/>
  <c r="A29" i="1"/>
  <c r="A28" i="1"/>
  <c r="B23" i="1"/>
  <c r="B22" i="1"/>
  <c r="M42" i="2" l="1"/>
  <c r="Q42" i="2" s="1"/>
  <c r="R42" i="2"/>
  <c r="R46" i="2" l="1"/>
  <c r="R45" i="2"/>
  <c r="R44" i="2"/>
  <c r="R43" i="2"/>
  <c r="R41" i="2"/>
  <c r="R40" i="2"/>
  <c r="R39" i="2"/>
  <c r="R38" i="2"/>
  <c r="R37" i="2"/>
  <c r="R36" i="2"/>
  <c r="R35" i="2"/>
  <c r="R34" i="2"/>
  <c r="F14" i="1" l="1"/>
  <c r="D42" i="2"/>
  <c r="D52" i="2" s="1"/>
  <c r="L59" i="2"/>
  <c r="L60" i="2" s="1"/>
  <c r="L61" i="2" s="1"/>
  <c r="G52" i="2" l="1"/>
  <c r="D59" i="2"/>
  <c r="D47" i="2"/>
  <c r="G47" i="2"/>
  <c r="G42" i="2"/>
  <c r="D66" i="2"/>
  <c r="A5" i="3"/>
  <c r="M46" i="2"/>
  <c r="Q46" i="2" s="1"/>
  <c r="M45" i="2"/>
  <c r="Q45" i="2" s="1"/>
  <c r="M44" i="2"/>
  <c r="Q44" i="2" s="1"/>
  <c r="M43" i="2"/>
  <c r="Q43" i="2" s="1"/>
  <c r="M41" i="2"/>
  <c r="Q41" i="2" s="1"/>
  <c r="M40" i="2"/>
  <c r="Q40" i="2" s="1"/>
  <c r="M39" i="2"/>
  <c r="Q39" i="2" s="1"/>
  <c r="M38" i="2"/>
  <c r="Q38" i="2" s="1"/>
  <c r="M37" i="2"/>
  <c r="Q37" i="2" s="1"/>
  <c r="M36" i="2"/>
  <c r="Q36" i="2" s="1"/>
  <c r="M35" i="2"/>
  <c r="Q35" i="2" s="1"/>
  <c r="M34" i="2"/>
  <c r="Q34" i="2" s="1"/>
  <c r="F16" i="1" l="1"/>
  <c r="K5" i="3"/>
  <c r="M5" i="3"/>
  <c r="B5" i="3" l="1"/>
  <c r="S5" i="3"/>
  <c r="F5" i="3" l="1"/>
  <c r="G5" i="3"/>
  <c r="E12" i="1"/>
  <c r="O44" i="2" l="1"/>
  <c r="P44" i="2" s="1"/>
  <c r="O39" i="2"/>
  <c r="P39" i="2" s="1"/>
  <c r="O35" i="2"/>
  <c r="O42" i="2"/>
  <c r="P42" i="2" s="1"/>
  <c r="B14" i="1"/>
  <c r="O43" i="2"/>
  <c r="P43" i="2" s="1"/>
  <c r="O34" i="2"/>
  <c r="P34" i="2" s="1"/>
  <c r="O46" i="2"/>
  <c r="P46" i="2" s="1"/>
  <c r="O41" i="2"/>
  <c r="P41" i="2" s="1"/>
  <c r="O37" i="2"/>
  <c r="P37" i="2" s="1"/>
  <c r="O45" i="2"/>
  <c r="P45" i="2" s="1"/>
  <c r="O40" i="2"/>
  <c r="P40" i="2" s="1"/>
  <c r="O36" i="2"/>
  <c r="P36" i="2" s="1"/>
  <c r="O38" i="2"/>
  <c r="P38" i="2" s="1"/>
  <c r="P35" i="2"/>
  <c r="B22" i="2"/>
  <c r="B24" i="2" s="1"/>
  <c r="B25" i="2" s="1"/>
  <c r="B26" i="2" s="1"/>
  <c r="B27" i="2" s="1"/>
  <c r="B28" i="2" s="1"/>
  <c r="B29" i="2" s="1"/>
  <c r="B30" i="2" s="1"/>
  <c r="B14" i="2"/>
  <c r="B10" i="2"/>
  <c r="D14" i="2"/>
  <c r="C9" i="1" l="1"/>
  <c r="M16" i="1" l="1"/>
  <c r="D36" i="2" l="1"/>
  <c r="E36" i="2" s="1"/>
  <c r="G36" i="2"/>
  <c r="H36" i="2" s="1"/>
  <c r="I36" i="2" s="1"/>
  <c r="B16" i="1"/>
  <c r="D35" i="2" l="1"/>
  <c r="E42" i="2" s="1"/>
  <c r="F42" i="2" s="1"/>
  <c r="E35" i="2" s="1"/>
  <c r="G35" i="2"/>
  <c r="H42" i="2" s="1"/>
  <c r="I42" i="2" s="1"/>
  <c r="D37" i="2"/>
  <c r="E37" i="2" s="1"/>
  <c r="G37" i="2"/>
  <c r="H37" i="2" s="1"/>
  <c r="I37" i="2" s="1"/>
  <c r="G38" i="2"/>
  <c r="H38" i="2" s="1"/>
  <c r="I38" i="2" s="1"/>
  <c r="D38" i="2"/>
  <c r="E38" i="2" s="1"/>
  <c r="F36" i="2"/>
  <c r="H35" i="2" l="1"/>
  <c r="H47" i="2" s="1"/>
  <c r="I47" i="2" s="1"/>
  <c r="F38" i="2"/>
  <c r="F37" i="2"/>
  <c r="E47" i="2"/>
  <c r="F47" i="2" s="1"/>
  <c r="F35" i="2" s="1"/>
  <c r="I35" i="2" l="1"/>
  <c r="H52" i="2" s="1"/>
  <c r="I52" i="2" s="1"/>
  <c r="E52" i="2"/>
  <c r="E59" i="2" l="1"/>
  <c r="E66" i="2" s="1"/>
  <c r="F52" i="2"/>
  <c r="F59" i="2" s="1"/>
  <c r="F66" i="2" s="1"/>
  <c r="C15" i="1" l="1"/>
  <c r="C17" i="1"/>
  <c r="C5" i="3" s="1"/>
  <c r="Q5" i="3" s="1"/>
  <c r="T5" i="3" l="1"/>
  <c r="E5" i="3"/>
  <c r="H5" i="3" s="1"/>
  <c r="R5" i="3" s="1"/>
  <c r="J5" i="3" s="1"/>
  <c r="N5" i="3" s="1"/>
  <c r="U5" i="3" s="1"/>
  <c r="O5" i="3" l="1"/>
  <c r="V5" i="3" s="1"/>
  <c r="P5" i="3" s="1"/>
  <c r="C18" i="1" s="1"/>
</calcChain>
</file>

<file path=xl/sharedStrings.xml><?xml version="1.0" encoding="utf-8"?>
<sst xmlns="http://schemas.openxmlformats.org/spreadsheetml/2006/main" count="292" uniqueCount="158">
  <si>
    <t>K</t>
  </si>
  <si>
    <t>n</t>
  </si>
  <si>
    <t>P=</t>
  </si>
  <si>
    <t>W/m</t>
  </si>
  <si>
    <t>W</t>
  </si>
  <si>
    <t>l/s</t>
  </si>
  <si>
    <t>Flöde</t>
  </si>
  <si>
    <t>°C</t>
  </si>
  <si>
    <t>kg</t>
  </si>
  <si>
    <t>rörlängd</t>
  </si>
  <si>
    <t>dm</t>
  </si>
  <si>
    <t>dm2</t>
  </si>
  <si>
    <t>effektfaktor</t>
  </si>
  <si>
    <t>flöde</t>
  </si>
  <si>
    <t>Uppmätt effekt</t>
  </si>
  <si>
    <t>Nominell effekt</t>
  </si>
  <si>
    <t>teoretisk effekt</t>
  </si>
  <si>
    <t>Iterering 1</t>
  </si>
  <si>
    <t>Effekt</t>
  </si>
  <si>
    <t>Iterering 2</t>
  </si>
  <si>
    <t>Iterering 3</t>
  </si>
  <si>
    <t>Effektfaktor AB I1</t>
  </si>
  <si>
    <t>Effektfator AB I2</t>
  </si>
  <si>
    <t>Effektfator AB I3</t>
  </si>
  <si>
    <t>Ekvation AB</t>
  </si>
  <si>
    <t>Effektfaktor BC I1</t>
  </si>
  <si>
    <t>Effektfator BC I2</t>
  </si>
  <si>
    <t>Effektfator BC I3</t>
  </si>
  <si>
    <t>Beräkning i flödesintervallet 0,025-0,06</t>
  </si>
  <si>
    <t>Ekvation BC</t>
  </si>
  <si>
    <t xml:space="preserve">Baserad på linjär ökning </t>
  </si>
  <si>
    <t>Korrigerad effekt &amp; flöde baserat på AB alternativt BC</t>
  </si>
  <si>
    <t>1.</t>
  </si>
  <si>
    <t>2.</t>
  </si>
  <si>
    <t>3.</t>
  </si>
  <si>
    <t>Extrapolerade data</t>
  </si>
  <si>
    <t>Tryckfall i rör</t>
  </si>
  <si>
    <t>Medeltemp</t>
  </si>
  <si>
    <t xml:space="preserve">Flöde </t>
  </si>
  <si>
    <t>Innerdiameter</t>
  </si>
  <si>
    <t>Hastighet</t>
  </si>
  <si>
    <t>Densitet</t>
  </si>
  <si>
    <t>Kinematisk viskositet</t>
  </si>
  <si>
    <t>Reynolds tal</t>
  </si>
  <si>
    <t>Råhet</t>
  </si>
  <si>
    <t>Friktionsfaktor</t>
  </si>
  <si>
    <t>Längd</t>
  </si>
  <si>
    <t>Stötmotstånd</t>
  </si>
  <si>
    <t>Tryckfall rör</t>
  </si>
  <si>
    <t>Tryckfall stötmotstånd</t>
  </si>
  <si>
    <t>Tryckfall totalt</t>
  </si>
  <si>
    <t>oC</t>
  </si>
  <si>
    <t>mm</t>
  </si>
  <si>
    <t>m/s</t>
  </si>
  <si>
    <t>kg/m3</t>
  </si>
  <si>
    <t>m2/s</t>
  </si>
  <si>
    <t>-</t>
  </si>
  <si>
    <t>m</t>
  </si>
  <si>
    <t>Böj</t>
  </si>
  <si>
    <t>Antal</t>
  </si>
  <si>
    <t>kPa</t>
  </si>
  <si>
    <t>t</t>
  </si>
  <si>
    <t>q</t>
  </si>
  <si>
    <t>D</t>
  </si>
  <si>
    <t>v</t>
  </si>
  <si>
    <t>r</t>
  </si>
  <si>
    <t>u</t>
  </si>
  <si>
    <t>Re</t>
  </si>
  <si>
    <t>e</t>
  </si>
  <si>
    <t>f</t>
  </si>
  <si>
    <t>L</t>
  </si>
  <si>
    <t>x</t>
  </si>
  <si>
    <t>st</t>
  </si>
  <si>
    <t>dprör</t>
  </si>
  <si>
    <t>dpstötmotstånd</t>
  </si>
  <si>
    <t>dpTotal</t>
  </si>
  <si>
    <t>Panel</t>
  </si>
  <si>
    <r>
      <t>T</t>
    </r>
    <r>
      <rPr>
        <b/>
        <sz val="9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(°C)</t>
    </r>
  </si>
  <si>
    <r>
      <t>T</t>
    </r>
    <r>
      <rPr>
        <b/>
        <sz val="9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(°C)</t>
    </r>
  </si>
  <si>
    <r>
      <t>ΔT</t>
    </r>
    <r>
      <rPr>
        <b/>
        <sz val="9"/>
        <color theme="1"/>
        <rFont val="Arial"/>
        <family val="2"/>
      </rPr>
      <t>rw</t>
    </r>
  </si>
  <si>
    <t>Casa Plan Serie</t>
  </si>
  <si>
    <t>Tillbehör 1</t>
  </si>
  <si>
    <t>Antal av 1</t>
  </si>
  <si>
    <t>SAP # tillbehör 1</t>
  </si>
  <si>
    <t>Antal av 2</t>
  </si>
  <si>
    <t>Tillbehör 2</t>
  </si>
  <si>
    <t>SAP # tillbehör 2</t>
  </si>
  <si>
    <t>2st</t>
  </si>
  <si>
    <t>4st</t>
  </si>
  <si>
    <t>6st</t>
  </si>
  <si>
    <t>Casa Plan</t>
  </si>
  <si>
    <t>Rörlängd</t>
  </si>
  <si>
    <t>Antal böjar</t>
  </si>
  <si>
    <t>Längd (mm)</t>
  </si>
  <si>
    <t>Rörlängd (m)</t>
  </si>
  <si>
    <t>Nom. Effekt (W)</t>
  </si>
  <si>
    <t>Nom. Flöde (l/s)</t>
  </si>
  <si>
    <t>Start- och mellanpanel</t>
  </si>
  <si>
    <t>Slutpanel</t>
  </si>
  <si>
    <t>flöde=hast x area</t>
  </si>
  <si>
    <t>flöde=</t>
  </si>
  <si>
    <t>area=</t>
  </si>
  <si>
    <t>Hast=</t>
  </si>
  <si>
    <t>dm3/s</t>
  </si>
  <si>
    <t>dm/s</t>
  </si>
  <si>
    <t>Volym (l)</t>
  </si>
  <si>
    <t>Vikt (kg)</t>
  </si>
  <si>
    <t>Arbetsmetod: Effektdata är tagna från Casa Plan 10mm men effektfaktorn är förskjuten så kurvan korsar 1,0 vid flöde 0,02l/s</t>
  </si>
  <si>
    <t>y = 0,9x + 0,9894</t>
  </si>
  <si>
    <t>Baserad på 0,0075-0,025</t>
  </si>
  <si>
    <t>Kontroll</t>
  </si>
  <si>
    <t xml:space="preserve">     meter</t>
  </si>
  <si>
    <t>Flödeskontroll av intervallet &gt;0,008 och &lt;0,06</t>
  </si>
  <si>
    <t>Flexslang L900mm push-fit 12-12mm</t>
  </si>
  <si>
    <t>Anslutningsslang L1200 inv. 1/2"-12mm</t>
  </si>
  <si>
    <r>
      <t>y = 3004179,5729732500000x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- 183436,7979494330000x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+ 3113,4502138476800x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+ 2,1238141184949x + 0,7000000000000</t>
    </r>
  </si>
  <si>
    <t>R² = 0,9979601183560</t>
  </si>
  <si>
    <t>Version 1</t>
  </si>
  <si>
    <t>liter</t>
  </si>
  <si>
    <t>1st</t>
  </si>
  <si>
    <t>3st</t>
  </si>
  <si>
    <t>Antal MP</t>
  </si>
  <si>
    <t>Antal EP</t>
  </si>
  <si>
    <t>Artikelnr</t>
  </si>
  <si>
    <t>Casa Plan 600 MP L3000-12</t>
  </si>
  <si>
    <t>Casa Plan 600 MP L2400-12</t>
  </si>
  <si>
    <t>Casa Plan 600 EP L1200-12</t>
  </si>
  <si>
    <t>Casa Plan 600 EP L2400-12</t>
  </si>
  <si>
    <t>Casa Plan 600 EP L3000-12</t>
  </si>
  <si>
    <t>Casa Plan 600 EP L1800-12</t>
  </si>
  <si>
    <t>Beräkning i flödesintervallet 0,01-0,025</t>
  </si>
  <si>
    <t>Panel med 12mm rør. EN 14037-2:2016</t>
  </si>
  <si>
    <r>
      <t>T</t>
    </r>
    <r>
      <rPr>
        <b/>
        <sz val="9"/>
        <color theme="1"/>
        <rFont val="Arial"/>
        <family val="2"/>
      </rPr>
      <t>rom</t>
    </r>
    <r>
      <rPr>
        <b/>
        <sz val="11"/>
        <color theme="1"/>
        <rFont val="Arial"/>
        <family val="2"/>
      </rPr>
      <t xml:space="preserve"> (°C)</t>
    </r>
  </si>
  <si>
    <t xml:space="preserve">1. Angi systemtemperatur. </t>
  </si>
  <si>
    <t>2. Velg den totale lengden Casa Plan som</t>
  </si>
  <si>
    <t>skal være seriekoblet.</t>
  </si>
  <si>
    <t>Resultatet av beregningen presenteres som</t>
  </si>
  <si>
    <t>Det gis også forslag på valg av paneler samt forslag</t>
  </si>
  <si>
    <t>på tilbehør for å koble sammen panelene.</t>
  </si>
  <si>
    <t>Total panellengde</t>
  </si>
  <si>
    <t>Korrigert effekt:</t>
  </si>
  <si>
    <t>Trykkfall i paneler:</t>
  </si>
  <si>
    <t>Vekt (tom):</t>
  </si>
  <si>
    <t>Volum:</t>
  </si>
  <si>
    <t>Instruks for effektsimuleringen</t>
  </si>
  <si>
    <t>Forslag til paneler i seriekoblingen:</t>
  </si>
  <si>
    <t>Artikkelnr</t>
  </si>
  <si>
    <t>Artikkelnavn</t>
  </si>
  <si>
    <t>Forslag på tilbehør:</t>
  </si>
  <si>
    <t>Artikkel</t>
  </si>
  <si>
    <t xml:space="preserve">er lavere/høyere påvirkes beregnet effekt med en effektfaktor. Detta angis som </t>
  </si>
  <si>
    <r>
      <rPr>
        <b/>
        <i/>
        <sz val="11"/>
        <color theme="1"/>
        <rFont val="Arial"/>
        <family val="2"/>
      </rPr>
      <t>korrigert effekt</t>
    </r>
    <r>
      <rPr>
        <i/>
        <sz val="11"/>
        <color theme="1"/>
        <rFont val="Arial"/>
        <family val="2"/>
      </rPr>
      <t xml:space="preserve"> og </t>
    </r>
    <r>
      <rPr>
        <b/>
        <i/>
        <sz val="11"/>
        <color theme="1"/>
        <rFont val="Arial"/>
        <family val="2"/>
      </rPr>
      <t>korrigert vannmengde</t>
    </r>
    <r>
      <rPr>
        <i/>
        <sz val="11"/>
        <color theme="1"/>
        <rFont val="Arial"/>
        <family val="2"/>
      </rPr>
      <t xml:space="preserve"> i beregningen.</t>
    </r>
  </si>
  <si>
    <t>Nominelle effekter ovenfor gjelder ved turbulent vannstrøm, med min 0,02 l/s. Om vannmengden</t>
  </si>
  <si>
    <t xml:space="preserve">Den korrigerte effekten er total effekt for hele serikoblingen. De forskjellige panelene kommer i </t>
  </si>
  <si>
    <t>Antall</t>
  </si>
  <si>
    <t>prinsippet til å avvike noe fra hverandre i effektavgivelse.</t>
  </si>
  <si>
    <r>
      <rPr>
        <i/>
        <sz val="11"/>
        <color theme="1"/>
        <rFont val="Calibri"/>
        <family val="2"/>
        <scheme val="minor"/>
      </rPr>
      <t>Korrigert effekt, Korrigert fløde</t>
    </r>
    <r>
      <rPr>
        <sz val="11"/>
        <color theme="1"/>
        <rFont val="Calibri"/>
        <family val="2"/>
        <scheme val="minor"/>
      </rPr>
      <t xml:space="preserve"> samt </t>
    </r>
    <r>
      <rPr>
        <i/>
        <sz val="11"/>
        <color theme="1"/>
        <rFont val="Calibri"/>
        <family val="2"/>
        <scheme val="minor"/>
      </rPr>
      <t>Trykkfall</t>
    </r>
  </si>
  <si>
    <t>Korrigert fløde: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</si>
</sst>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 vertical="center" readingOrder="1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167" fontId="0" fillId="0" borderId="0" xfId="0" applyNumberFormat="1"/>
    <xf numFmtId="0" fontId="0" fillId="3" borderId="0" xfId="0" applyFill="1"/>
    <xf numFmtId="0" fontId="1" fillId="0" borderId="4" xfId="0" applyFont="1" applyBorder="1"/>
    <xf numFmtId="0" fontId="1" fillId="0" borderId="5" xfId="0" applyFont="1" applyBorder="1"/>
    <xf numFmtId="1" fontId="1" fillId="0" borderId="0" xfId="0" applyNumberFormat="1" applyFont="1"/>
    <xf numFmtId="0" fontId="0" fillId="0" borderId="1" xfId="0" applyBorder="1"/>
    <xf numFmtId="0" fontId="1" fillId="0" borderId="6" xfId="0" applyFont="1" applyBorder="1"/>
    <xf numFmtId="1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4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166" fontId="0" fillId="2" borderId="7" xfId="0" applyNumberFormat="1" applyFill="1" applyBorder="1"/>
    <xf numFmtId="0" fontId="0" fillId="4" borderId="13" xfId="0" applyFill="1" applyBorder="1"/>
    <xf numFmtId="0" fontId="0" fillId="5" borderId="13" xfId="0" applyFill="1" applyBorder="1"/>
    <xf numFmtId="166" fontId="0" fillId="4" borderId="13" xfId="0" applyNumberFormat="1" applyFill="1" applyBorder="1"/>
    <xf numFmtId="167" fontId="0" fillId="5" borderId="13" xfId="0" applyNumberFormat="1" applyFill="1" applyBorder="1"/>
    <xf numFmtId="166" fontId="0" fillId="5" borderId="13" xfId="0" applyNumberFormat="1" applyFill="1" applyBorder="1"/>
    <xf numFmtId="2" fontId="0" fillId="5" borderId="13" xfId="0" applyNumberFormat="1" applyFill="1" applyBorder="1"/>
    <xf numFmtId="0" fontId="1" fillId="3" borderId="0" xfId="0" applyFont="1" applyFill="1"/>
    <xf numFmtId="0" fontId="0" fillId="3" borderId="13" xfId="0" applyFill="1" applyBorder="1"/>
    <xf numFmtId="1" fontId="0" fillId="5" borderId="13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Protection="1">
      <protection locked="0"/>
    </xf>
    <xf numFmtId="165" fontId="6" fillId="0" borderId="0" xfId="0" applyNumberFormat="1" applyFont="1" applyFill="1" applyProtection="1">
      <protection hidden="1"/>
    </xf>
    <xf numFmtId="0" fontId="6" fillId="0" borderId="0" xfId="0" applyFont="1" applyBorder="1"/>
    <xf numFmtId="0" fontId="7" fillId="0" borderId="0" xfId="0" applyFont="1" applyBorder="1"/>
    <xf numFmtId="1" fontId="6" fillId="0" borderId="0" xfId="0" applyNumberFormat="1" applyFont="1" applyBorder="1" applyProtection="1">
      <protection hidden="1"/>
    </xf>
    <xf numFmtId="165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Protection="1">
      <protection hidden="1"/>
    </xf>
    <xf numFmtId="2" fontId="6" fillId="0" borderId="0" xfId="0" applyNumberFormat="1" applyFont="1" applyFill="1" applyBorder="1" applyProtection="1">
      <protection hidden="1"/>
    </xf>
    <xf numFmtId="1" fontId="6" fillId="0" borderId="0" xfId="0" applyNumberFormat="1" applyFont="1" applyFill="1" applyBorder="1" applyProtection="1">
      <protection hidden="1"/>
    </xf>
    <xf numFmtId="0" fontId="6" fillId="2" borderId="13" xfId="0" applyFont="1" applyFill="1" applyBorder="1" applyProtection="1">
      <protection locked="0"/>
    </xf>
    <xf numFmtId="1" fontId="7" fillId="3" borderId="13" xfId="0" applyNumberFormat="1" applyFont="1" applyFill="1" applyBorder="1" applyAlignment="1" applyProtection="1">
      <alignment horizontal="right"/>
      <protection hidden="1"/>
    </xf>
    <xf numFmtId="164" fontId="7" fillId="3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/>
    <xf numFmtId="1" fontId="7" fillId="0" borderId="0" xfId="0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5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13" xfId="0" applyBorder="1"/>
    <xf numFmtId="0" fontId="12" fillId="0" borderId="13" xfId="0" applyFont="1" applyBorder="1"/>
    <xf numFmtId="0" fontId="13" fillId="0" borderId="13" xfId="0" applyFont="1" applyBorder="1"/>
    <xf numFmtId="0" fontId="0" fillId="0" borderId="0" xfId="0" applyFill="1"/>
    <xf numFmtId="1" fontId="0" fillId="0" borderId="13" xfId="0" applyNumberFormat="1" applyBorder="1"/>
    <xf numFmtId="164" fontId="0" fillId="0" borderId="13" xfId="0" applyNumberFormat="1" applyBorder="1"/>
    <xf numFmtId="0" fontId="0" fillId="6" borderId="13" xfId="0" applyFill="1" applyBorder="1" applyAlignment="1">
      <alignment wrapText="1"/>
    </xf>
    <xf numFmtId="0" fontId="0" fillId="6" borderId="13" xfId="0" applyFill="1" applyBorder="1"/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right"/>
    </xf>
    <xf numFmtId="165" fontId="0" fillId="0" borderId="13" xfId="0" applyNumberFormat="1" applyBorder="1"/>
    <xf numFmtId="1" fontId="6" fillId="0" borderId="2" xfId="0" applyNumberFormat="1" applyFont="1" applyFill="1" applyBorder="1" applyProtection="1">
      <protection hidden="1"/>
    </xf>
    <xf numFmtId="165" fontId="7" fillId="3" borderId="14" xfId="0" applyNumberFormat="1" applyFont="1" applyFill="1" applyBorder="1" applyAlignment="1" applyProtection="1">
      <alignment horizontal="right"/>
      <protection hidden="1"/>
    </xf>
    <xf numFmtId="2" fontId="6" fillId="0" borderId="7" xfId="0" applyNumberFormat="1" applyFont="1" applyFill="1" applyBorder="1" applyProtection="1">
      <protection hidden="1"/>
    </xf>
    <xf numFmtId="164" fontId="0" fillId="3" borderId="0" xfId="0" applyNumberFormat="1" applyFill="1" applyBorder="1"/>
    <xf numFmtId="164" fontId="0" fillId="0" borderId="0" xfId="0" applyNumberFormat="1" applyBorder="1"/>
    <xf numFmtId="2" fontId="0" fillId="0" borderId="0" xfId="0" applyNumberFormat="1" applyBorder="1"/>
    <xf numFmtId="0" fontId="0" fillId="3" borderId="0" xfId="0" applyFill="1" applyBorder="1"/>
    <xf numFmtId="166" fontId="0" fillId="2" borderId="0" xfId="0" applyNumberFormat="1" applyFill="1" applyBorder="1"/>
    <xf numFmtId="164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/>
    <xf numFmtId="0" fontId="15" fillId="0" borderId="0" xfId="0" applyFont="1" applyAlignment="1">
      <alignment horizontal="center" vertical="center" readingOrder="1"/>
    </xf>
    <xf numFmtId="165" fontId="7" fillId="0" borderId="7" xfId="0" applyNumberFormat="1" applyFont="1" applyFill="1" applyBorder="1" applyAlignment="1" applyProtection="1">
      <alignment horizontal="right"/>
      <protection hidden="1"/>
    </xf>
    <xf numFmtId="165" fontId="0" fillId="2" borderId="13" xfId="0" applyNumberFormat="1" applyFill="1" applyBorder="1" applyProtection="1">
      <protection locked="0"/>
    </xf>
    <xf numFmtId="0" fontId="0" fillId="0" borderId="15" xfId="0" applyFill="1" applyBorder="1"/>
    <xf numFmtId="1" fontId="6" fillId="0" borderId="2" xfId="0" applyNumberFormat="1" applyFont="1" applyFill="1" applyBorder="1" applyAlignment="1" applyProtection="1">
      <alignment horizontal="right"/>
      <protection hidden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2" fontId="0" fillId="7" borderId="4" xfId="0" applyNumberFormat="1" applyFill="1" applyBorder="1"/>
    <xf numFmtId="2" fontId="0" fillId="7" borderId="0" xfId="0" applyNumberFormat="1" applyFill="1"/>
    <xf numFmtId="2" fontId="0" fillId="7" borderId="5" xfId="0" applyNumberFormat="1" applyFill="1" applyBorder="1"/>
    <xf numFmtId="165" fontId="0" fillId="0" borderId="0" xfId="0" applyNumberFormat="1"/>
    <xf numFmtId="2" fontId="6" fillId="0" borderId="0" xfId="0" applyNumberFormat="1" applyFont="1" applyFill="1" applyBorder="1" applyAlignment="1" applyProtection="1">
      <alignment horizontal="right"/>
      <protection hidden="1"/>
    </xf>
    <xf numFmtId="165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15" xfId="0" applyBorder="1"/>
    <xf numFmtId="165" fontId="7" fillId="0" borderId="2" xfId="0" applyNumberFormat="1" applyFont="1" applyFill="1" applyBorder="1" applyAlignment="1" applyProtection="1">
      <alignment horizontal="right"/>
      <protection hidden="1"/>
    </xf>
    <xf numFmtId="2" fontId="6" fillId="0" borderId="2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 horizontal="right" indent="4"/>
      <protection hidden="1"/>
    </xf>
    <xf numFmtId="0" fontId="6" fillId="0" borderId="2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Border="1" applyAlignment="1" applyProtection="1">
      <alignment horizontal="right"/>
      <protection hidden="1"/>
    </xf>
    <xf numFmtId="0" fontId="6" fillId="0" borderId="5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165" fontId="1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1" fontId="0" fillId="0" borderId="4" xfId="0" applyNumberFormat="1" applyBorder="1" applyAlignment="1" applyProtection="1">
      <alignment horizontal="right" indent="4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" fontId="0" fillId="0" borderId="4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2">
    <dxf>
      <font>
        <color rgb="FFFF0000"/>
      </font>
      <fill>
        <patternFill>
          <fgColor auto="1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0,025-0,06, ekvation 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Effektfaktor!$A$23:$A$30</c:f>
              <c:numCache>
                <c:formatCode>General</c:formatCode>
                <c:ptCount val="8"/>
                <c:pt idx="0">
                  <c:v>2.5000999999999999E-2</c:v>
                </c:pt>
                <c:pt idx="1">
                  <c:v>0.03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4.4999999999999998E-2</c:v>
                </c:pt>
                <c:pt idx="5">
                  <c:v>0.05</c:v>
                </c:pt>
                <c:pt idx="6">
                  <c:v>5.5E-2</c:v>
                </c:pt>
                <c:pt idx="7">
                  <c:v>0.06</c:v>
                </c:pt>
              </c:numCache>
            </c:numRef>
          </c:xVal>
          <c:yVal>
            <c:numRef>
              <c:f>Effektfaktor!$B$24:$B$30</c:f>
              <c:numCache>
                <c:formatCode>0.0000</c:formatCode>
                <c:ptCount val="7"/>
                <c:pt idx="0">
                  <c:v>1.0118897497020263</c:v>
                </c:pt>
                <c:pt idx="1">
                  <c:v>1.0163897497020262</c:v>
                </c:pt>
                <c:pt idx="2">
                  <c:v>1.0208897497020262</c:v>
                </c:pt>
                <c:pt idx="3">
                  <c:v>1.0253897497020261</c:v>
                </c:pt>
                <c:pt idx="4">
                  <c:v>1.0298897497020261</c:v>
                </c:pt>
                <c:pt idx="5">
                  <c:v>1.034389749702026</c:v>
                </c:pt>
                <c:pt idx="6">
                  <c:v>1.038889749702026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07-4D6C-A792-03981DE867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33326248"/>
        <c:axId val="533328216"/>
      </c:scatterChart>
      <c:valAx>
        <c:axId val="533326248"/>
        <c:scaling>
          <c:orientation val="minMax"/>
          <c:min val="4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328216"/>
        <c:crosses val="autoZero"/>
        <c:crossBetween val="midCat"/>
      </c:valAx>
      <c:valAx>
        <c:axId val="533328216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332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0,075-0,25, ekvation 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intercept val="0.70000000000000007"/>
            <c:dispRSqr val="1"/>
            <c:dispEq val="1"/>
            <c:trendlineLbl>
              <c:layout>
                <c:manualLayout>
                  <c:x val="3.1270515609718671E-3"/>
                  <c:y val="0.41177172910967702"/>
                </c:manualLayout>
              </c:layout>
              <c:numFmt formatCode="0.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Effektfaktor!$A$6:$A$22</c:f>
              <c:numCache>
                <c:formatCode>General</c:formatCode>
                <c:ptCount val="17"/>
                <c:pt idx="0">
                  <c:v>7.4999999999999997E-3</c:v>
                </c:pt>
                <c:pt idx="1">
                  <c:v>8.1250000000000003E-3</c:v>
                </c:pt>
                <c:pt idx="2">
                  <c:v>8.7500000000000008E-3</c:v>
                </c:pt>
                <c:pt idx="3">
                  <c:v>9.3749999999999997E-3</c:v>
                </c:pt>
                <c:pt idx="4">
                  <c:v>0.01</c:v>
                </c:pt>
                <c:pt idx="5">
                  <c:v>1.125E-2</c:v>
                </c:pt>
                <c:pt idx="6">
                  <c:v>1.2500000000000001E-2</c:v>
                </c:pt>
                <c:pt idx="7">
                  <c:v>1.375E-2</c:v>
                </c:pt>
                <c:pt idx="8">
                  <c:v>1.4999999999999999E-2</c:v>
                </c:pt>
                <c:pt idx="9">
                  <c:v>1.6250000000000001E-2</c:v>
                </c:pt>
                <c:pt idx="10">
                  <c:v>1.7500000000000002E-2</c:v>
                </c:pt>
                <c:pt idx="11">
                  <c:v>1.8749999999999999E-2</c:v>
                </c:pt>
                <c:pt idx="12">
                  <c:v>0.02</c:v>
                </c:pt>
                <c:pt idx="13">
                  <c:v>2.1250000000000002E-2</c:v>
                </c:pt>
                <c:pt idx="14">
                  <c:v>2.2499999999999999E-2</c:v>
                </c:pt>
                <c:pt idx="15">
                  <c:v>2.375E-2</c:v>
                </c:pt>
                <c:pt idx="16">
                  <c:v>2.5000000000000001E-2</c:v>
                </c:pt>
              </c:numCache>
            </c:numRef>
          </c:xVal>
          <c:yVal>
            <c:numRef>
              <c:f>Effektfaktor!$B$6:$B$22</c:f>
              <c:numCache>
                <c:formatCode>0.000</c:formatCode>
                <c:ptCount val="17"/>
                <c:pt idx="0" formatCode="General">
                  <c:v>0.82750000000000001</c:v>
                </c:pt>
                <c:pt idx="1">
                  <c:v>0.83962499999999995</c:v>
                </c:pt>
                <c:pt idx="2">
                  <c:v>0.85175000000000001</c:v>
                </c:pt>
                <c:pt idx="3">
                  <c:v>0.86387499999999995</c:v>
                </c:pt>
                <c:pt idx="4">
                  <c:v>0.87575301204819278</c:v>
                </c:pt>
                <c:pt idx="5">
                  <c:v>0.90024999999999999</c:v>
                </c:pt>
                <c:pt idx="6">
                  <c:v>0.92449999999999999</c:v>
                </c:pt>
                <c:pt idx="7">
                  <c:v>0.94874999999999998</c:v>
                </c:pt>
                <c:pt idx="8">
                  <c:v>0.97293035479632062</c:v>
                </c:pt>
                <c:pt idx="9" formatCode="0.00">
                  <c:v>0.98150000000000004</c:v>
                </c:pt>
                <c:pt idx="10" formatCode="0.00">
                  <c:v>0.99</c:v>
                </c:pt>
                <c:pt idx="11">
                  <c:v>0.995</c:v>
                </c:pt>
                <c:pt idx="12" formatCode="General">
                  <c:v>1</c:v>
                </c:pt>
                <c:pt idx="13" formatCode="General">
                  <c:v>1.0017499999999999</c:v>
                </c:pt>
                <c:pt idx="14" formatCode="General">
                  <c:v>1.0035000000000001</c:v>
                </c:pt>
                <c:pt idx="15" formatCode="General">
                  <c:v>1.00525</c:v>
                </c:pt>
                <c:pt idx="16">
                  <c:v>1.0073897497020263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6D-47D5-BDF6-134EEC54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482264"/>
        <c:axId val="627483904"/>
      </c:scatterChart>
      <c:valAx>
        <c:axId val="627482264"/>
        <c:scaling>
          <c:orientation val="minMax"/>
          <c:min val="6.0000000000000019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83904"/>
        <c:crosses val="autoZero"/>
        <c:crossBetween val="midCat"/>
      </c:valAx>
      <c:valAx>
        <c:axId val="627483904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82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650159</xdr:colOff>
      <xdr:row>0</xdr:row>
      <xdr:rowOff>164999</xdr:rowOff>
    </xdr:from>
    <xdr:to>
      <xdr:col>8</xdr:col>
      <xdr:colOff>7532</xdr:colOff>
      <xdr:row>2</xdr:row>
      <xdr:rowOff>127000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33969F-8F32-4CB5-A044-162D21FE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98159" y="164999"/>
          <a:ext cx="3263557" cy="54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343959</xdr:colOff>
      <xdr:row>3</xdr:row>
      <xdr:rowOff>119062</xdr:rowOff>
    </xdr:from>
    <xdr:to>
      <xdr:col>3</xdr:col>
      <xdr:colOff>760678</xdr:colOff>
      <xdr:row>5</xdr:row>
      <xdr:rowOff>112447</xdr:rowOff>
    </xdr:to>
    <xdr:sp macro="" textlink="">
      <xdr:nvSpPr>
        <xdr:cNvPr id="4" name="Pratbubbla: oval 3">
          <a:extLst>
            <a:ext uri="{FF2B5EF4-FFF2-40B4-BE49-F238E27FC236}">
              <a16:creationId xmlns:a16="http://schemas.microsoft.com/office/drawing/2014/main" id="{3E8F4D62-4E91-49E7-9F36-563AB6347760}"/>
            </a:ext>
          </a:extLst>
        </xdr:cNvPr>
        <xdr:cNvSpPr/>
      </xdr:nvSpPr>
      <xdr:spPr>
        <a:xfrm>
          <a:off x="2665678" y="707760"/>
          <a:ext cx="416719" cy="377031"/>
        </a:xfrm>
        <a:prstGeom prst="wedgeEllipseCallout">
          <a:avLst>
            <a:gd name="adj1" fmla="val -71627"/>
            <a:gd name="adj2" fmla="val 712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1.</a:t>
          </a:r>
        </a:p>
      </xdr:txBody>
    </xdr:sp>
    <xdr:clientData/>
  </xdr:twoCellAnchor>
  <xdr:twoCellAnchor>
    <xdr:from>
      <xdr:col>6</xdr:col>
      <xdr:colOff>354230</xdr:colOff>
      <xdr:row>6</xdr:row>
      <xdr:rowOff>86051</xdr:rowOff>
    </xdr:from>
    <xdr:to>
      <xdr:col>7</xdr:col>
      <xdr:colOff>142564</xdr:colOff>
      <xdr:row>8</xdr:row>
      <xdr:rowOff>76261</xdr:rowOff>
    </xdr:to>
    <xdr:sp macro="" textlink="">
      <xdr:nvSpPr>
        <xdr:cNvPr id="5" name="Pratbubbla: oval 4">
          <a:extLst>
            <a:ext uri="{FF2B5EF4-FFF2-40B4-BE49-F238E27FC236}">
              <a16:creationId xmlns:a16="http://schemas.microsoft.com/office/drawing/2014/main" id="{76A67A70-3169-42D6-BE9F-AF0F7B91617C}"/>
            </a:ext>
          </a:extLst>
        </xdr:cNvPr>
        <xdr:cNvSpPr/>
      </xdr:nvSpPr>
      <xdr:spPr>
        <a:xfrm>
          <a:off x="6024406" y="1441963"/>
          <a:ext cx="415864" cy="371210"/>
        </a:xfrm>
        <a:prstGeom prst="wedgeEllipseCallout">
          <a:avLst>
            <a:gd name="adj1" fmla="val -108135"/>
            <a:gd name="adj2" fmla="val -7027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2.</a:t>
          </a:r>
        </a:p>
      </xdr:txBody>
    </xdr:sp>
    <xdr:clientData/>
  </xdr:twoCellAnchor>
  <xdr:twoCellAnchor editAs="oneCell">
    <xdr:from>
      <xdr:col>0</xdr:col>
      <xdr:colOff>0</xdr:colOff>
      <xdr:row>37</xdr:row>
      <xdr:rowOff>89647</xdr:rowOff>
    </xdr:from>
    <xdr:to>
      <xdr:col>6</xdr:col>
      <xdr:colOff>511704</xdr:colOff>
      <xdr:row>44</xdr:row>
      <xdr:rowOff>463175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CFF26A2D-CCBA-4EBA-AD49-ED6CE9CE9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94176"/>
          <a:ext cx="6181880" cy="1707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3</xdr:row>
      <xdr:rowOff>161925</xdr:rowOff>
    </xdr:from>
    <xdr:to>
      <xdr:col>22</xdr:col>
      <xdr:colOff>461963</xdr:colOff>
      <xdr:row>18</xdr:row>
      <xdr:rowOff>71438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0A3CF54-BFC4-448B-9B25-34179A297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472439</xdr:colOff>
      <xdr:row>4</xdr:row>
      <xdr:rowOff>0</xdr:rowOff>
    </xdr:from>
    <xdr:to>
      <xdr:col>10</xdr:col>
      <xdr:colOff>190500</xdr:colOff>
      <xdr:row>17</xdr:row>
      <xdr:rowOff>44450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0B994FE-DA1A-4407-8F22-7C56CEBD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S78"/>
  <sheetViews>
    <sheetView showGridLines="0" tabSelected="1" zoomScale="85" zoomScaleNormal="85" workbookViewId="0">
      <selection activeCell="H18" sqref="H18:Q40"/>
    </sheetView>
  </sheetViews>
  <sheetFormatPr baseColWidth="10" defaultColWidth="9.140625" defaultRowHeight="15" x14ac:dyDescent="0.25"/>
  <cols>
    <col min="1" max="1" width="15.42578125" customWidth="1"/>
    <col min="2" max="2" width="13" customWidth="1"/>
    <col min="3" max="3" width="17.140625" customWidth="1"/>
    <col min="4" max="4" width="14.5703125" customWidth="1"/>
    <col min="5" max="5" width="16.85546875" customWidth="1"/>
    <col min="6" max="6" width="8.140625" customWidth="1"/>
    <col min="7" max="7" width="9.42578125" customWidth="1"/>
    <col min="8" max="8" width="9.5703125" customWidth="1"/>
    <col min="9" max="9" width="9.140625" customWidth="1"/>
    <col min="10" max="10" width="4.85546875" customWidth="1"/>
    <col min="11" max="11" width="11.140625" customWidth="1"/>
    <col min="12" max="12" width="15.140625" customWidth="1"/>
    <col min="13" max="14" width="9.140625" customWidth="1"/>
    <col min="15" max="15" width="12.140625" customWidth="1"/>
    <col min="16" max="16" width="9.140625" customWidth="1"/>
    <col min="17" max="17" width="14.42578125" customWidth="1"/>
  </cols>
  <sheetData>
    <row r="1" spans="1:19" ht="30.95" customHeight="1" x14ac:dyDescent="0.4">
      <c r="A1" s="45" t="s">
        <v>80</v>
      </c>
      <c r="B1" s="45"/>
    </row>
    <row r="2" spans="1:19" x14ac:dyDescent="0.25">
      <c r="A2" s="110" t="s">
        <v>131</v>
      </c>
      <c r="B2" s="46"/>
      <c r="C2" s="46"/>
      <c r="D2" s="46"/>
    </row>
    <row r="3" spans="1:19" ht="15.75" thickBot="1" x14ac:dyDescent="0.3">
      <c r="A3" s="175" t="s">
        <v>0</v>
      </c>
      <c r="B3" s="175"/>
      <c r="C3" s="176">
        <v>3.0287999999999999</v>
      </c>
    </row>
    <row r="4" spans="1:19" x14ac:dyDescent="0.25">
      <c r="A4" s="1"/>
      <c r="B4" s="1"/>
      <c r="G4" s="110" t="s">
        <v>117</v>
      </c>
      <c r="H4" s="162">
        <v>43971</v>
      </c>
      <c r="I4" s="163"/>
      <c r="K4" s="144" t="s">
        <v>144</v>
      </c>
      <c r="L4" s="145"/>
      <c r="M4" s="145"/>
      <c r="N4" s="145"/>
      <c r="O4" s="145"/>
      <c r="P4" s="145"/>
      <c r="Q4" s="146"/>
    </row>
    <row r="5" spans="1:19" x14ac:dyDescent="0.25">
      <c r="A5" s="1"/>
      <c r="B5" s="1"/>
      <c r="G5" s="46"/>
      <c r="H5" s="96"/>
      <c r="I5" s="97"/>
      <c r="K5" s="147"/>
      <c r="L5" s="148"/>
      <c r="M5" s="148"/>
      <c r="N5" s="148"/>
      <c r="O5" s="148"/>
      <c r="P5" s="148"/>
      <c r="Q5" s="149"/>
    </row>
    <row r="6" spans="1:19" x14ac:dyDescent="0.25">
      <c r="A6" s="109" t="s">
        <v>77</v>
      </c>
      <c r="B6" s="47"/>
      <c r="C6" s="57">
        <v>60</v>
      </c>
      <c r="D6" s="48" t="s">
        <v>7</v>
      </c>
      <c r="E6" s="142" t="s">
        <v>139</v>
      </c>
      <c r="F6" s="93">
        <v>9</v>
      </c>
      <c r="G6" s="143" t="s">
        <v>111</v>
      </c>
      <c r="K6" s="133" t="s">
        <v>133</v>
      </c>
      <c r="L6" s="148"/>
      <c r="M6" s="148"/>
      <c r="N6" s="148"/>
      <c r="O6" s="148"/>
      <c r="P6" s="148"/>
      <c r="Q6" s="149"/>
    </row>
    <row r="7" spans="1:19" x14ac:dyDescent="0.25">
      <c r="A7" s="109" t="s">
        <v>78</v>
      </c>
      <c r="B7" s="47"/>
      <c r="C7" s="57">
        <v>50</v>
      </c>
      <c r="D7" s="48" t="s">
        <v>7</v>
      </c>
      <c r="J7" s="2"/>
      <c r="K7" s="133" t="s">
        <v>134</v>
      </c>
      <c r="L7" s="148"/>
      <c r="M7" s="148"/>
      <c r="N7" s="148"/>
      <c r="O7" s="148"/>
      <c r="P7" s="148"/>
      <c r="Q7" s="149"/>
    </row>
    <row r="8" spans="1:19" x14ac:dyDescent="0.25">
      <c r="A8" s="109" t="s">
        <v>132</v>
      </c>
      <c r="B8" s="47"/>
      <c r="C8" s="57">
        <v>20</v>
      </c>
      <c r="D8" s="48" t="s">
        <v>7</v>
      </c>
      <c r="K8" s="133" t="s">
        <v>135</v>
      </c>
      <c r="L8" s="148"/>
      <c r="M8" s="148"/>
      <c r="N8" s="148"/>
      <c r="O8" s="148"/>
      <c r="P8" s="148"/>
      <c r="Q8" s="149"/>
    </row>
    <row r="9" spans="1:19" x14ac:dyDescent="0.25">
      <c r="A9" s="109" t="s">
        <v>79</v>
      </c>
      <c r="B9" s="109"/>
      <c r="C9" s="49">
        <f>(C6+C7)/2-C8</f>
        <v>35</v>
      </c>
      <c r="D9" s="110" t="s">
        <v>7</v>
      </c>
      <c r="E9" s="111"/>
      <c r="F9" s="111"/>
      <c r="G9" s="111"/>
      <c r="J9" s="2"/>
      <c r="K9" s="150" t="s">
        <v>136</v>
      </c>
      <c r="L9" s="148"/>
      <c r="M9" s="148"/>
      <c r="N9" s="148"/>
      <c r="O9" s="148"/>
      <c r="P9" s="148"/>
      <c r="Q9" s="149"/>
      <c r="R9" s="21"/>
    </row>
    <row r="10" spans="1:19" hidden="1" x14ac:dyDescent="0.25">
      <c r="A10" s="112" t="s">
        <v>1</v>
      </c>
      <c r="B10" s="112"/>
      <c r="C10" s="111">
        <v>1.1813</v>
      </c>
      <c r="D10" s="111"/>
      <c r="E10" s="111"/>
      <c r="F10" s="111"/>
      <c r="G10" s="111"/>
      <c r="K10" s="133"/>
      <c r="L10" s="148"/>
      <c r="M10" s="148"/>
      <c r="N10" s="148"/>
      <c r="O10" s="148"/>
      <c r="P10" s="148"/>
      <c r="Q10" s="149"/>
    </row>
    <row r="11" spans="1:19" hidden="1" x14ac:dyDescent="0.25">
      <c r="A11" s="111"/>
      <c r="B11" s="111"/>
      <c r="C11" s="111"/>
      <c r="D11" s="111"/>
      <c r="E11" s="111"/>
      <c r="F11" s="111"/>
      <c r="G11" s="111"/>
      <c r="K11" s="133"/>
      <c r="L11" s="148"/>
      <c r="M11" s="148"/>
      <c r="N11" s="148"/>
      <c r="O11" s="148"/>
      <c r="P11" s="148"/>
      <c r="Q11" s="149"/>
    </row>
    <row r="12" spans="1:19" hidden="1" x14ac:dyDescent="0.25">
      <c r="A12" s="111"/>
      <c r="B12" s="111"/>
      <c r="C12" s="113" t="s">
        <v>2</v>
      </c>
      <c r="D12" s="113"/>
      <c r="E12" s="114">
        <f>C3*((C6+C7)/2-C8)^C10</f>
        <v>201.96595962855812</v>
      </c>
      <c r="F12" s="111" t="s">
        <v>3</v>
      </c>
      <c r="G12" s="111"/>
      <c r="K12" s="151"/>
      <c r="L12" s="148"/>
      <c r="M12" s="148"/>
      <c r="N12" s="148"/>
      <c r="O12" s="152"/>
      <c r="P12" s="152"/>
      <c r="Q12" s="153"/>
    </row>
    <row r="13" spans="1:19" ht="15.75" thickBot="1" x14ac:dyDescent="0.3">
      <c r="A13" s="111"/>
      <c r="B13" s="111"/>
      <c r="C13" s="111"/>
      <c r="D13" s="111"/>
      <c r="E13" s="111"/>
      <c r="F13" s="111"/>
      <c r="G13" s="111"/>
      <c r="K13" s="133" t="s">
        <v>156</v>
      </c>
      <c r="L13" s="148"/>
      <c r="M13" s="148"/>
      <c r="N13" s="148"/>
      <c r="O13" s="152"/>
      <c r="P13" s="154"/>
      <c r="Q13" s="155"/>
      <c r="S13" s="5"/>
    </row>
    <row r="14" spans="1:19" x14ac:dyDescent="0.25">
      <c r="A14" s="115" t="s">
        <v>15</v>
      </c>
      <c r="B14" s="80">
        <f>E12*F6</f>
        <v>1817.693636657023</v>
      </c>
      <c r="C14" s="115" t="s">
        <v>4</v>
      </c>
      <c r="D14" s="116"/>
      <c r="E14" s="117" t="s">
        <v>142</v>
      </c>
      <c r="F14" s="95">
        <f>VLOOKUP(F6,Effektfaktor!L34:W46,7)</f>
        <v>31.950000000000003</v>
      </c>
      <c r="G14" s="116" t="s">
        <v>8</v>
      </c>
      <c r="K14" s="156" t="s">
        <v>137</v>
      </c>
      <c r="L14" s="148"/>
      <c r="M14" s="148"/>
      <c r="N14" s="148"/>
      <c r="O14" s="152"/>
      <c r="P14" s="154"/>
      <c r="Q14" s="155"/>
      <c r="S14" s="5"/>
    </row>
    <row r="15" spans="1:19" ht="15.75" thickBot="1" x14ac:dyDescent="0.3">
      <c r="A15" s="118" t="s">
        <v>140</v>
      </c>
      <c r="B15" s="52"/>
      <c r="C15" s="58">
        <f>Effektfaktor!E66</f>
        <v>1871.4926945228988</v>
      </c>
      <c r="D15" s="119" t="s">
        <v>4</v>
      </c>
      <c r="E15" s="120"/>
      <c r="F15" s="104"/>
      <c r="G15" s="121"/>
      <c r="K15" s="157" t="s">
        <v>138</v>
      </c>
      <c r="L15" s="158"/>
      <c r="M15" s="158"/>
      <c r="N15" s="158"/>
      <c r="O15" s="159"/>
      <c r="P15" s="160"/>
      <c r="Q15" s="161"/>
      <c r="S15" s="5"/>
    </row>
    <row r="16" spans="1:19" hidden="1" x14ac:dyDescent="0.25">
      <c r="A16" s="108" t="s">
        <v>6</v>
      </c>
      <c r="B16" s="54">
        <f>(B14/(1.164*(C6-C7)))/3600</f>
        <v>4.3377568648745306E-2</v>
      </c>
      <c r="C16" s="108" t="s">
        <v>5</v>
      </c>
      <c r="D16" s="121"/>
      <c r="E16" s="120" t="s">
        <v>143</v>
      </c>
      <c r="F16" s="104">
        <f>VLOOKUP(F6,Effektfaktor!L34:W46,6)</f>
        <v>2.9215950000000008</v>
      </c>
      <c r="G16" s="121" t="s">
        <v>118</v>
      </c>
      <c r="L16" t="s">
        <v>9</v>
      </c>
      <c r="M16" t="e">
        <f>#REF!-(4*6)</f>
        <v>#REF!</v>
      </c>
      <c r="N16" t="s">
        <v>10</v>
      </c>
      <c r="O16" s="60"/>
      <c r="P16" s="62"/>
      <c r="Q16" s="61"/>
      <c r="S16" s="5"/>
    </row>
    <row r="17" spans="1:19" x14ac:dyDescent="0.25">
      <c r="A17" s="118" t="s">
        <v>157</v>
      </c>
      <c r="B17" s="108"/>
      <c r="C17" s="59">
        <f>Effektfaktor!F66</f>
        <v>4.4665696766656299E-2</v>
      </c>
      <c r="D17" s="119" t="s">
        <v>5</v>
      </c>
      <c r="E17" s="122"/>
      <c r="F17" s="55"/>
      <c r="G17" s="121"/>
      <c r="O17" s="60"/>
      <c r="P17" s="62"/>
      <c r="Q17" s="61"/>
      <c r="S17" s="5"/>
    </row>
    <row r="18" spans="1:19" ht="18" customHeight="1" thickBot="1" x14ac:dyDescent="0.3">
      <c r="A18" s="123" t="s">
        <v>141</v>
      </c>
      <c r="B18" s="124"/>
      <c r="C18" s="81">
        <f>Tryckfall!P5</f>
        <v>21.2</v>
      </c>
      <c r="D18" s="125" t="s">
        <v>60</v>
      </c>
      <c r="E18" s="126"/>
      <c r="F18" s="82"/>
      <c r="G18" s="127"/>
      <c r="O18" s="60"/>
      <c r="P18" s="62"/>
      <c r="Q18" s="61"/>
      <c r="S18" s="5"/>
    </row>
    <row r="19" spans="1:19" ht="5.25" customHeight="1" x14ac:dyDescent="0.25">
      <c r="A19" s="128"/>
      <c r="B19" s="115"/>
      <c r="C19" s="106"/>
      <c r="D19" s="129"/>
      <c r="E19" s="115"/>
      <c r="F19" s="107"/>
      <c r="G19" s="116"/>
      <c r="O19" s="60"/>
      <c r="P19" s="62"/>
      <c r="Q19" s="61"/>
      <c r="S19" s="5"/>
    </row>
    <row r="20" spans="1:19" ht="18" customHeight="1" x14ac:dyDescent="0.25">
      <c r="A20" s="130" t="s">
        <v>145</v>
      </c>
      <c r="B20" s="108"/>
      <c r="C20" s="108"/>
      <c r="D20" s="118"/>
      <c r="E20" s="108"/>
      <c r="F20" s="67"/>
      <c r="G20" s="119"/>
      <c r="H20" s="50"/>
      <c r="I20" s="55"/>
      <c r="J20" s="50"/>
      <c r="O20" s="60"/>
      <c r="P20" s="62"/>
      <c r="Q20" s="61"/>
      <c r="S20" s="5"/>
    </row>
    <row r="21" spans="1:19" ht="18" customHeight="1" x14ac:dyDescent="0.25">
      <c r="A21" s="131" t="s">
        <v>146</v>
      </c>
      <c r="B21" s="118" t="s">
        <v>154</v>
      </c>
      <c r="C21" s="118" t="s">
        <v>147</v>
      </c>
      <c r="D21" s="118"/>
      <c r="E21" s="108"/>
      <c r="F21" s="67"/>
      <c r="G21" s="119"/>
      <c r="H21" s="50"/>
      <c r="I21" s="55"/>
      <c r="J21" s="50"/>
      <c r="O21" s="60"/>
      <c r="P21" s="62"/>
      <c r="Q21" s="61"/>
      <c r="S21" s="5"/>
    </row>
    <row r="22" spans="1:19" ht="18" customHeight="1" x14ac:dyDescent="0.25">
      <c r="A22" s="132">
        <f>VLOOKUP(F6,Effektfaktor!L34:AD46,10)</f>
        <v>81063002</v>
      </c>
      <c r="B22" s="108" t="str">
        <f>VLOOKUP(F6,Effektfaktor!L34:W46,8)</f>
        <v>2st</v>
      </c>
      <c r="C22" s="108" t="str">
        <f>VLOOKUP(F6,Effektfaktor!L34:W46,9)</f>
        <v>Casa Plan 600 MP L3000-12</v>
      </c>
      <c r="D22" s="118"/>
      <c r="E22" s="108"/>
      <c r="F22" s="67"/>
      <c r="G22" s="119"/>
      <c r="H22" s="50"/>
      <c r="I22" s="103"/>
      <c r="J22" s="50"/>
      <c r="O22" s="60"/>
      <c r="P22" s="62"/>
      <c r="Q22" s="61"/>
      <c r="S22" s="5"/>
    </row>
    <row r="23" spans="1:19" ht="18" customHeight="1" x14ac:dyDescent="0.25">
      <c r="A23" s="132">
        <f>VLOOKUP(F6,Effektfaktor!L34:AD46,13)</f>
        <v>81063012</v>
      </c>
      <c r="B23" s="108" t="str">
        <f>VLOOKUP(F6,Effektfaktor!L34:W46,11)</f>
        <v>1st</v>
      </c>
      <c r="C23" s="108" t="str">
        <f>VLOOKUP(F6,Effektfaktor!L34:W46,12)</f>
        <v>Casa Plan 600 EP L3000-12</v>
      </c>
      <c r="D23" s="118"/>
      <c r="E23" s="108"/>
      <c r="F23" s="67"/>
      <c r="G23" s="119"/>
      <c r="H23" s="50"/>
      <c r="I23" s="55"/>
      <c r="J23" s="50"/>
      <c r="O23" s="60"/>
      <c r="P23" s="62"/>
      <c r="Q23" s="61"/>
      <c r="S23" s="5"/>
    </row>
    <row r="24" spans="1:19" ht="6" customHeight="1" x14ac:dyDescent="0.25">
      <c r="A24" s="133"/>
      <c r="B24" s="108"/>
      <c r="C24" s="108"/>
      <c r="D24" s="118"/>
      <c r="E24" s="108"/>
      <c r="F24" s="67"/>
      <c r="G24" s="119"/>
      <c r="H24" s="50"/>
      <c r="I24" s="55"/>
      <c r="J24" s="50"/>
      <c r="O24" s="60"/>
      <c r="P24" s="62"/>
      <c r="Q24" s="61"/>
      <c r="S24" s="5"/>
    </row>
    <row r="25" spans="1:19" ht="20.100000000000001" customHeight="1" x14ac:dyDescent="0.25">
      <c r="A25" s="130" t="s">
        <v>148</v>
      </c>
      <c r="B25" s="118"/>
      <c r="C25" s="108"/>
      <c r="D25" s="108"/>
      <c r="E25" s="56"/>
      <c r="F25" s="108"/>
      <c r="G25" s="121"/>
      <c r="H25" s="50"/>
      <c r="I25" s="53"/>
      <c r="J25" s="50"/>
      <c r="O25" s="60"/>
      <c r="P25" s="62"/>
      <c r="Q25" s="61"/>
      <c r="S25" s="5"/>
    </row>
    <row r="26" spans="1:19" ht="2.25" customHeight="1" x14ac:dyDescent="0.25">
      <c r="A26" s="133"/>
      <c r="B26" s="108"/>
      <c r="C26" s="108"/>
      <c r="D26" s="118"/>
      <c r="E26" s="134"/>
      <c r="F26" s="65"/>
      <c r="G26" s="119"/>
      <c r="H26" s="50"/>
      <c r="I26" s="53"/>
      <c r="J26" s="50"/>
      <c r="O26" s="60"/>
      <c r="P26" s="62"/>
      <c r="Q26" s="61"/>
      <c r="S26" s="5"/>
    </row>
    <row r="27" spans="1:19" x14ac:dyDescent="0.25">
      <c r="A27" s="131" t="s">
        <v>123</v>
      </c>
      <c r="B27" s="118" t="s">
        <v>154</v>
      </c>
      <c r="C27" s="118" t="s">
        <v>149</v>
      </c>
      <c r="D27" s="118"/>
      <c r="E27" s="134"/>
      <c r="F27" s="65"/>
      <c r="G27" s="119"/>
      <c r="H27" s="50"/>
      <c r="I27" s="53"/>
      <c r="J27" s="50"/>
      <c r="O27" s="60"/>
      <c r="P27" s="62"/>
      <c r="Q27" s="61"/>
      <c r="S27" s="5"/>
    </row>
    <row r="28" spans="1:19" x14ac:dyDescent="0.25">
      <c r="A28" s="132">
        <f>VLOOKUP(F6,Effektfaktor!L34:AA46,16)</f>
        <v>830121</v>
      </c>
      <c r="B28" s="135" t="str">
        <f>VLOOKUP(F6,Effektfaktor!L34:AA46,14)</f>
        <v>4st</v>
      </c>
      <c r="C28" s="108" t="str">
        <f>VLOOKUP(F6,Effektfaktor!L34:AA46,15)</f>
        <v>Flexslang L900mm push-fit 12-12mm</v>
      </c>
      <c r="D28" s="118"/>
      <c r="E28" s="134"/>
      <c r="F28" s="66"/>
      <c r="G28" s="119"/>
      <c r="H28" s="50"/>
      <c r="I28" s="55"/>
      <c r="J28" s="50"/>
    </row>
    <row r="29" spans="1:19" ht="15.75" thickBot="1" x14ac:dyDescent="0.3">
      <c r="A29" s="136">
        <f>VLOOKUP(F6,Effektfaktor!L34:AD46,19)</f>
        <v>830122</v>
      </c>
      <c r="B29" s="124" t="str">
        <f>VLOOKUP(F6,Effektfaktor!L34:AD46,17)</f>
        <v>2st</v>
      </c>
      <c r="C29" s="124" t="str">
        <f>VLOOKUP(F6,Effektfaktor!L34:AD46,18)</f>
        <v>Anslutningsslang L1200 inv. 1/2"-12mm</v>
      </c>
      <c r="D29" s="123"/>
      <c r="E29" s="137"/>
      <c r="F29" s="92"/>
      <c r="G29" s="125"/>
      <c r="H29" s="50"/>
      <c r="I29" s="55"/>
      <c r="J29" s="50"/>
    </row>
    <row r="30" spans="1:19" x14ac:dyDescent="0.25">
      <c r="A30" s="138"/>
      <c r="B30" s="118"/>
      <c r="C30" s="108"/>
      <c r="D30" s="108"/>
      <c r="E30" s="56"/>
      <c r="F30" s="134"/>
      <c r="G30" s="108"/>
      <c r="H30" s="50"/>
      <c r="I30" s="53"/>
      <c r="J30" s="50"/>
    </row>
    <row r="31" spans="1:19" ht="13.5" hidden="1" customHeight="1" x14ac:dyDescent="0.4">
      <c r="A31" s="108"/>
      <c r="B31" s="108"/>
      <c r="C31" s="108"/>
      <c r="D31" s="139"/>
      <c r="E31" s="56"/>
      <c r="F31" s="65"/>
      <c r="G31" s="118"/>
      <c r="H31" s="50"/>
      <c r="I31" s="53"/>
      <c r="J31" s="50"/>
    </row>
    <row r="32" spans="1:19" x14ac:dyDescent="0.25">
      <c r="A32" s="174" t="s">
        <v>152</v>
      </c>
      <c r="B32" s="46"/>
      <c r="C32" s="46"/>
      <c r="D32" s="46"/>
      <c r="E32" s="46"/>
      <c r="F32" s="46"/>
      <c r="G32" s="46"/>
      <c r="H32" s="46"/>
      <c r="I32" s="46"/>
      <c r="J32" s="50"/>
    </row>
    <row r="33" spans="1:11" x14ac:dyDescent="0.25">
      <c r="A33" s="174" t="s">
        <v>150</v>
      </c>
      <c r="B33" s="46"/>
      <c r="C33" s="46"/>
      <c r="D33" s="46"/>
      <c r="E33" s="46"/>
      <c r="F33" s="46"/>
      <c r="G33" s="46"/>
      <c r="H33" s="46"/>
      <c r="I33" s="46"/>
      <c r="J33" s="50"/>
    </row>
    <row r="34" spans="1:11" x14ac:dyDescent="0.25">
      <c r="A34" s="174" t="s">
        <v>151</v>
      </c>
      <c r="B34" s="46"/>
      <c r="C34" s="46"/>
      <c r="D34" s="46"/>
      <c r="E34" s="46"/>
      <c r="F34" s="46"/>
      <c r="G34" s="46"/>
      <c r="H34" s="46"/>
      <c r="I34" s="46"/>
      <c r="J34" s="50"/>
      <c r="K34" s="6"/>
    </row>
    <row r="35" spans="1:11" x14ac:dyDescent="0.25">
      <c r="A35" s="140"/>
      <c r="B35" s="118"/>
      <c r="C35" s="108"/>
      <c r="D35" s="108"/>
      <c r="E35" s="56"/>
      <c r="F35" s="134"/>
      <c r="G35" s="108"/>
      <c r="H35" s="50"/>
      <c r="I35" s="53"/>
      <c r="J35" s="50"/>
      <c r="K35" s="6"/>
    </row>
    <row r="36" spans="1:11" x14ac:dyDescent="0.25">
      <c r="A36" s="140" t="s">
        <v>153</v>
      </c>
      <c r="B36" s="118"/>
      <c r="C36" s="108"/>
      <c r="D36" s="108"/>
      <c r="E36" s="56"/>
      <c r="F36" s="134"/>
      <c r="G36" s="108"/>
      <c r="H36" s="50"/>
      <c r="I36" s="53"/>
      <c r="J36" s="50"/>
      <c r="K36" s="6"/>
    </row>
    <row r="37" spans="1:11" x14ac:dyDescent="0.25">
      <c r="A37" s="141" t="s">
        <v>155</v>
      </c>
      <c r="B37" s="108"/>
      <c r="C37" s="108"/>
      <c r="D37" s="118"/>
      <c r="E37" s="56"/>
      <c r="F37" s="65"/>
      <c r="G37" s="118"/>
      <c r="H37" s="50"/>
      <c r="I37" s="53"/>
      <c r="J37" s="50"/>
    </row>
    <row r="38" spans="1:11" x14ac:dyDescent="0.25">
      <c r="A38" s="141"/>
      <c r="B38" s="108"/>
      <c r="C38" s="108"/>
      <c r="D38" s="118"/>
      <c r="E38" s="56"/>
      <c r="F38" s="65"/>
      <c r="G38" s="118"/>
      <c r="H38" s="50"/>
      <c r="I38" s="53"/>
      <c r="J38" s="50"/>
    </row>
    <row r="39" spans="1:11" x14ac:dyDescent="0.25">
      <c r="A39" s="51"/>
      <c r="B39" s="51"/>
      <c r="C39" s="50"/>
      <c r="D39" s="50"/>
      <c r="E39" s="50"/>
      <c r="F39" s="50"/>
      <c r="G39" s="50"/>
      <c r="H39" s="50"/>
      <c r="I39" s="50"/>
      <c r="J39" s="50"/>
    </row>
    <row r="40" spans="1:11" x14ac:dyDescent="0.25">
      <c r="A40" s="63"/>
      <c r="B40" s="63"/>
      <c r="C40" s="50"/>
      <c r="D40" s="50"/>
      <c r="E40" s="50"/>
      <c r="F40" s="50"/>
      <c r="G40" s="50"/>
      <c r="H40" s="50"/>
      <c r="I40" s="50"/>
      <c r="J40" s="50"/>
    </row>
    <row r="41" spans="1:11" x14ac:dyDescent="0.25">
      <c r="A41" s="63"/>
      <c r="B41" s="63"/>
      <c r="C41" s="50"/>
      <c r="D41" s="50"/>
      <c r="E41" s="50"/>
      <c r="F41" s="50"/>
      <c r="G41" s="50"/>
      <c r="H41" s="50"/>
      <c r="I41" s="50"/>
      <c r="J41" s="50"/>
    </row>
    <row r="42" spans="1:11" x14ac:dyDescent="0.25">
      <c r="A42" s="63"/>
      <c r="B42" s="63"/>
      <c r="C42" s="50"/>
      <c r="D42" s="50"/>
      <c r="E42" s="50"/>
      <c r="F42" s="50"/>
      <c r="G42" s="50"/>
      <c r="H42" s="50"/>
      <c r="I42" s="50"/>
      <c r="J42" s="50"/>
    </row>
    <row r="43" spans="1:1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1" x14ac:dyDescent="0.25">
      <c r="A44" s="51"/>
      <c r="B44" s="51"/>
      <c r="C44" s="50"/>
      <c r="D44" s="50"/>
      <c r="E44" s="50"/>
      <c r="F44" s="50"/>
      <c r="G44" s="50"/>
      <c r="H44" s="50"/>
      <c r="I44" s="50"/>
      <c r="J44" s="50"/>
    </row>
    <row r="45" spans="1:11" ht="51" customHeight="1" x14ac:dyDescent="0.25">
      <c r="A45" s="63"/>
      <c r="B45" s="63"/>
      <c r="C45" s="50"/>
      <c r="D45" s="50"/>
      <c r="E45" s="50"/>
      <c r="F45" s="50"/>
      <c r="G45" s="50"/>
      <c r="H45" s="50"/>
      <c r="I45" s="50"/>
      <c r="J45" s="50"/>
    </row>
    <row r="46" spans="1:11" x14ac:dyDescent="0.25">
      <c r="A46" s="63"/>
      <c r="B46" s="63"/>
      <c r="C46" s="50"/>
      <c r="D46" s="50"/>
      <c r="E46" s="50"/>
      <c r="F46" s="50"/>
      <c r="G46" s="50"/>
      <c r="H46" s="50"/>
      <c r="I46" s="50"/>
      <c r="J46" s="50"/>
    </row>
    <row r="47" spans="1:1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x14ac:dyDescent="0.25">
      <c r="A49" s="64"/>
      <c r="B49" s="64"/>
      <c r="C49" s="63"/>
      <c r="D49" s="63"/>
      <c r="E49" s="63"/>
      <c r="F49" s="63"/>
      <c r="G49" s="63"/>
      <c r="H49" s="63"/>
      <c r="I49" s="63"/>
      <c r="J49" s="63"/>
    </row>
    <row r="50" spans="1:10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5">
      <c r="A54" s="64"/>
      <c r="B54" s="64"/>
      <c r="C54" s="63"/>
      <c r="D54" s="63"/>
      <c r="E54" s="63"/>
      <c r="F54" s="63"/>
      <c r="G54" s="63"/>
      <c r="H54" s="63"/>
      <c r="I54" s="63"/>
      <c r="J54" s="63"/>
    </row>
    <row r="55" spans="1:10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5">
      <c r="A59" s="64"/>
      <c r="B59" s="64"/>
      <c r="C59" s="63"/>
      <c r="D59" s="63"/>
      <c r="E59" s="63"/>
      <c r="F59" s="63"/>
      <c r="G59" s="63"/>
      <c r="H59" s="63"/>
      <c r="I59" s="63"/>
      <c r="J59" s="63"/>
    </row>
    <row r="60" spans="1:10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x14ac:dyDescent="0.25">
      <c r="A64" s="64"/>
      <c r="B64" s="64"/>
      <c r="C64" s="63"/>
      <c r="D64" s="63"/>
      <c r="E64" s="63"/>
      <c r="F64" s="63"/>
      <c r="G64" s="63"/>
      <c r="H64" s="63"/>
      <c r="I64" s="63"/>
      <c r="J64" s="63"/>
    </row>
    <row r="65" spans="1:10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x14ac:dyDescent="0.25">
      <c r="A69" s="64"/>
      <c r="B69" s="64"/>
      <c r="C69" s="63"/>
      <c r="D69" s="63"/>
      <c r="E69" s="63"/>
      <c r="F69" s="63"/>
      <c r="G69" s="63"/>
      <c r="H69" s="63"/>
      <c r="I69" s="63"/>
      <c r="J69" s="63"/>
    </row>
    <row r="70" spans="1:10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x14ac:dyDescent="0.25">
      <c r="A74" s="64"/>
      <c r="B74" s="64"/>
      <c r="C74" s="63"/>
      <c r="D74" s="63"/>
      <c r="E74" s="63"/>
      <c r="F74" s="63"/>
      <c r="G74" s="63"/>
      <c r="H74" s="63"/>
      <c r="I74" s="63"/>
      <c r="J74" s="63"/>
    </row>
    <row r="75" spans="1:10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</row>
  </sheetData>
  <sheetProtection algorithmName="SHA-512" hashValue="wXZQBiZbuv6eLIyeudTBsu5/05YfxESlfotqDkCa7qGA2HkJXhaKq+9nr+kixeYEy2UC+EMzG+NUkE38TQcpEw==" saltValue="oswH/L2Bh9128K+1T3o4Nw==" spinCount="100000" sheet="1" objects="1" scenarios="1"/>
  <mergeCells count="1">
    <mergeCell ref="H4:I4"/>
  </mergeCells>
  <conditionalFormatting sqref="B16">
    <cfRule type="cellIs" dxfId="1" priority="7" operator="lessThan">
      <formula>0.01</formula>
    </cfRule>
  </conditionalFormatting>
  <conditionalFormatting sqref="F20:F24 C18:C19">
    <cfRule type="cellIs" dxfId="0" priority="2" operator="greaterThan">
      <formula>25</formula>
    </cfRule>
  </conditionalFormatting>
  <pageMargins left="0.7" right="0.7" top="0.75" bottom="0.75" header="0.3" footer="0.3"/>
  <pageSetup paperSize="9" scale="66" orientation="landscape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4AE2BE6-0152-48A9-BD5D-37655081F60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NoIcons" iconId="0"/>
              <x14:cfIcon iconSet="NoIcons" iconId="0"/>
              <x14:cfIcon iconSet="3Symbols" iconId="1"/>
            </x14:iconSet>
          </x14:cfRule>
          <xm:sqref>F20:F24 C18:C19</xm:sqref>
        </x14:conditionalFormatting>
        <x14:conditionalFormatting xmlns:xm="http://schemas.microsoft.com/office/excel/2006/main">
          <x14:cfRule type="iconSet" priority="1" id="{4FA8CF46-36AC-4E85-B467-1DBFE7BB6F1C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0.02</xm:f>
              </x14:cfvo>
              <x14:cfIcon iconSet="NoIcons" iconId="0"/>
              <x14:cfIcon iconSet="3Symbols" iconId="1"/>
              <x14:cfIcon iconSet="NoIcons" iconId="0"/>
            </x14:iconSet>
          </x14:cfRule>
          <xm:sqref>C17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älj panellängd i listan" xr:uid="{3B3EF1CB-C23A-4961-B9F9-6AAE56F7A5B1}">
          <x14:formula1>
            <xm:f>Effektfaktor!$L$34:$L$46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B9B3-77F4-4219-8A13-6677D67EED61}">
  <sheetPr codeName="Blad1"/>
  <dimension ref="A1:AD69"/>
  <sheetViews>
    <sheetView topLeftCell="A37" zoomScaleNormal="100" workbookViewId="0">
      <selection activeCell="G29" sqref="G29"/>
    </sheetView>
  </sheetViews>
  <sheetFormatPr baseColWidth="10" defaultColWidth="9.140625" defaultRowHeight="15" x14ac:dyDescent="0.25"/>
  <cols>
    <col min="1" max="1" width="9.85546875" customWidth="1"/>
    <col min="2" max="2" width="14.140625" customWidth="1"/>
    <col min="3" max="3" width="15.85546875" customWidth="1"/>
    <col min="4" max="4" width="17.42578125" customWidth="1"/>
    <col min="5" max="5" width="16.140625" customWidth="1"/>
    <col min="6" max="6" width="15.85546875" customWidth="1"/>
    <col min="7" max="7" width="16.42578125" customWidth="1"/>
    <col min="8" max="8" width="16.140625" customWidth="1"/>
    <col min="9" max="9" width="15.5703125" customWidth="1"/>
    <col min="15" max="15" width="9.140625" customWidth="1"/>
    <col min="20" max="20" width="23.85546875" customWidth="1"/>
    <col min="21" max="21" width="15.140625" customWidth="1"/>
    <col min="22" max="22" width="8" customWidth="1"/>
    <col min="23" max="23" width="23.42578125" customWidth="1"/>
    <col min="24" max="24" width="13.85546875" customWidth="1"/>
    <col min="25" max="25" width="10.140625" customWidth="1"/>
  </cols>
  <sheetData>
    <row r="1" spans="1:9" x14ac:dyDescent="0.25">
      <c r="A1" s="8" t="s">
        <v>13</v>
      </c>
      <c r="B1" s="9" t="s">
        <v>12</v>
      </c>
      <c r="C1" s="9" t="s">
        <v>14</v>
      </c>
      <c r="D1" s="10" t="s">
        <v>16</v>
      </c>
      <c r="E1" s="90" t="s">
        <v>107</v>
      </c>
      <c r="H1" s="1"/>
    </row>
    <row r="2" spans="1:9" x14ac:dyDescent="0.25">
      <c r="A2" s="31">
        <v>5.0000000000000001E-3</v>
      </c>
      <c r="B2" s="63"/>
      <c r="C2" s="63">
        <v>581.5</v>
      </c>
      <c r="D2" s="14">
        <v>664</v>
      </c>
      <c r="E2" s="5"/>
      <c r="I2" s="3"/>
    </row>
    <row r="3" spans="1:9" x14ac:dyDescent="0.25">
      <c r="A3" s="13">
        <v>5.6249999999999998E-3</v>
      </c>
      <c r="B3" s="63"/>
      <c r="C3" s="63"/>
      <c r="D3" s="14"/>
      <c r="E3" s="5"/>
      <c r="I3" s="3"/>
    </row>
    <row r="4" spans="1:9" x14ac:dyDescent="0.25">
      <c r="A4" s="13">
        <v>6.2500000000000003E-3</v>
      </c>
      <c r="B4" s="63"/>
      <c r="C4" s="63"/>
      <c r="D4" s="14"/>
      <c r="E4" s="5"/>
      <c r="I4" s="3"/>
    </row>
    <row r="5" spans="1:9" x14ac:dyDescent="0.25">
      <c r="A5" s="13">
        <v>6.875E-3</v>
      </c>
      <c r="B5" s="63"/>
      <c r="C5" s="63"/>
      <c r="D5" s="14"/>
      <c r="E5" s="5"/>
      <c r="I5" s="3"/>
    </row>
    <row r="6" spans="1:9" x14ac:dyDescent="0.25">
      <c r="A6" s="31">
        <v>7.4999999999999997E-3</v>
      </c>
      <c r="B6">
        <v>0.82750000000000001</v>
      </c>
      <c r="C6" s="63">
        <v>677.6</v>
      </c>
      <c r="D6" s="14">
        <v>722</v>
      </c>
      <c r="E6" s="5"/>
      <c r="I6" s="3"/>
    </row>
    <row r="7" spans="1:9" x14ac:dyDescent="0.25">
      <c r="A7" s="13">
        <v>8.1250000000000003E-3</v>
      </c>
      <c r="B7" s="84">
        <v>0.83962499999999995</v>
      </c>
      <c r="C7" s="63"/>
      <c r="D7" s="14"/>
      <c r="E7" s="5"/>
      <c r="I7" s="3"/>
    </row>
    <row r="8" spans="1:9" x14ac:dyDescent="0.25">
      <c r="A8" s="13">
        <v>8.7500000000000008E-3</v>
      </c>
      <c r="B8" s="84">
        <v>0.85175000000000001</v>
      </c>
      <c r="C8" s="63"/>
      <c r="D8" s="14"/>
      <c r="E8" s="5"/>
      <c r="I8" s="3"/>
    </row>
    <row r="9" spans="1:9" x14ac:dyDescent="0.25">
      <c r="A9" s="13">
        <v>9.3749999999999997E-3</v>
      </c>
      <c r="B9" s="84">
        <v>0.86387499999999995</v>
      </c>
      <c r="C9" s="63"/>
      <c r="D9" s="14"/>
      <c r="E9" s="5"/>
      <c r="I9" s="3"/>
    </row>
    <row r="10" spans="1:9" x14ac:dyDescent="0.25">
      <c r="A10" s="31">
        <v>0.01</v>
      </c>
      <c r="B10" s="83">
        <f>C2/D2</f>
        <v>0.87575301204819278</v>
      </c>
      <c r="C10" s="63">
        <v>740.4</v>
      </c>
      <c r="D10" s="14">
        <v>761</v>
      </c>
      <c r="E10" s="5"/>
      <c r="I10" s="3"/>
    </row>
    <row r="11" spans="1:9" x14ac:dyDescent="0.25">
      <c r="A11" s="13">
        <v>1.125E-2</v>
      </c>
      <c r="B11" s="84">
        <v>0.90024999999999999</v>
      </c>
      <c r="C11" s="63"/>
      <c r="D11" s="14"/>
      <c r="E11" s="5"/>
      <c r="H11" s="21"/>
      <c r="I11" s="3"/>
    </row>
    <row r="12" spans="1:9" x14ac:dyDescent="0.25">
      <c r="A12" s="13">
        <v>1.2500000000000001E-2</v>
      </c>
      <c r="B12" s="84">
        <v>0.92449999999999999</v>
      </c>
      <c r="C12" s="63"/>
      <c r="D12" s="14"/>
      <c r="E12" s="5"/>
      <c r="I12" s="3"/>
    </row>
    <row r="13" spans="1:9" x14ac:dyDescent="0.25">
      <c r="A13" s="13">
        <v>1.375E-2</v>
      </c>
      <c r="B13" s="84">
        <v>0.94874999999999998</v>
      </c>
      <c r="C13" s="63"/>
      <c r="D13" s="14"/>
      <c r="E13" s="5"/>
      <c r="I13" s="3"/>
    </row>
    <row r="14" spans="1:9" x14ac:dyDescent="0.25">
      <c r="A14" s="31">
        <v>1.4999999999999999E-2</v>
      </c>
      <c r="B14" s="83">
        <f>C10/D10</f>
        <v>0.97293035479632062</v>
      </c>
      <c r="C14" s="63">
        <v>806.7</v>
      </c>
      <c r="D14" s="32">
        <f>891*0.9</f>
        <v>801.9</v>
      </c>
      <c r="E14" s="5"/>
      <c r="I14" s="3"/>
    </row>
    <row r="15" spans="1:9" x14ac:dyDescent="0.25">
      <c r="A15" s="13">
        <v>1.6250000000000001E-2</v>
      </c>
      <c r="B15" s="85">
        <v>0.98150000000000004</v>
      </c>
      <c r="C15" s="63"/>
      <c r="D15" s="14"/>
      <c r="E15" s="5"/>
      <c r="I15" s="3"/>
    </row>
    <row r="16" spans="1:9" x14ac:dyDescent="0.25">
      <c r="A16" s="13">
        <v>1.7500000000000002E-2</v>
      </c>
      <c r="B16" s="85">
        <v>0.99</v>
      </c>
      <c r="C16" s="63"/>
      <c r="D16" s="14"/>
      <c r="E16" s="5"/>
      <c r="I16" s="3"/>
    </row>
    <row r="17" spans="1:15" x14ac:dyDescent="0.25">
      <c r="A17" s="13">
        <v>1.8749999999999999E-2</v>
      </c>
      <c r="B17" s="84">
        <v>0.995</v>
      </c>
      <c r="C17" s="63"/>
      <c r="D17" s="14"/>
      <c r="E17" s="5"/>
      <c r="I17" s="3"/>
    </row>
    <row r="18" spans="1:15" x14ac:dyDescent="0.25">
      <c r="A18" s="31">
        <v>0.02</v>
      </c>
      <c r="B18" s="86">
        <v>1</v>
      </c>
      <c r="C18" s="63">
        <v>845.2</v>
      </c>
      <c r="D18" s="14">
        <v>839</v>
      </c>
      <c r="E18" s="5"/>
      <c r="I18" s="3"/>
    </row>
    <row r="19" spans="1:15" x14ac:dyDescent="0.25">
      <c r="A19" s="13">
        <v>2.1250000000000002E-2</v>
      </c>
      <c r="B19" s="63">
        <v>1.0017499999999999</v>
      </c>
      <c r="C19" s="63"/>
      <c r="D19" s="14"/>
      <c r="E19" s="5"/>
      <c r="I19" s="3"/>
    </row>
    <row r="20" spans="1:15" ht="17.25" x14ac:dyDescent="0.25">
      <c r="A20" s="13">
        <v>2.2499999999999999E-2</v>
      </c>
      <c r="B20" s="63">
        <v>1.0035000000000001</v>
      </c>
      <c r="C20" s="63"/>
      <c r="D20" s="14"/>
      <c r="E20" s="88"/>
      <c r="F20" s="1" t="s">
        <v>24</v>
      </c>
      <c r="G20" t="s">
        <v>115</v>
      </c>
      <c r="I20" s="3"/>
      <c r="O20" s="4"/>
    </row>
    <row r="21" spans="1:15" x14ac:dyDescent="0.25">
      <c r="A21" s="13">
        <v>2.375E-2</v>
      </c>
      <c r="B21" s="63">
        <v>1.00525</v>
      </c>
      <c r="C21" s="63"/>
      <c r="D21" s="14"/>
      <c r="E21" s="88"/>
      <c r="F21" s="1" t="s">
        <v>109</v>
      </c>
      <c r="H21" t="s">
        <v>116</v>
      </c>
      <c r="I21" s="3"/>
    </row>
    <row r="22" spans="1:15" x14ac:dyDescent="0.25">
      <c r="A22" s="31">
        <v>2.5000000000000001E-2</v>
      </c>
      <c r="B22" s="83">
        <f>C18/D18</f>
        <v>1.0073897497020263</v>
      </c>
      <c r="C22" s="63">
        <v>869.2</v>
      </c>
      <c r="D22" s="14">
        <v>859</v>
      </c>
      <c r="E22" s="89"/>
      <c r="I22" s="3"/>
    </row>
    <row r="23" spans="1:15" x14ac:dyDescent="0.25">
      <c r="A23" s="13">
        <v>2.5000999999999999E-2</v>
      </c>
      <c r="B23" s="84">
        <v>1.0082500000000001</v>
      </c>
      <c r="C23" s="63"/>
      <c r="D23" s="14"/>
      <c r="E23" s="89"/>
      <c r="I23" s="3"/>
    </row>
    <row r="24" spans="1:15" x14ac:dyDescent="0.25">
      <c r="A24" s="33">
        <v>0.03</v>
      </c>
      <c r="B24" s="87">
        <f>B22+0.0045</f>
        <v>1.0118897497020263</v>
      </c>
      <c r="C24" s="63" t="s">
        <v>35</v>
      </c>
      <c r="D24" s="14"/>
      <c r="F24" s="1" t="s">
        <v>29</v>
      </c>
      <c r="G24" s="91" t="s">
        <v>108</v>
      </c>
    </row>
    <row r="25" spans="1:15" x14ac:dyDescent="0.25">
      <c r="A25" s="33">
        <v>3.5000000000000003E-2</v>
      </c>
      <c r="B25" s="87">
        <f>B24+0.0045</f>
        <v>1.0163897497020262</v>
      </c>
      <c r="C25" s="63" t="s">
        <v>35</v>
      </c>
      <c r="D25" s="14"/>
      <c r="E25" s="7"/>
      <c r="F25" s="1" t="s">
        <v>30</v>
      </c>
      <c r="J25" s="4"/>
    </row>
    <row r="26" spans="1:15" x14ac:dyDescent="0.25">
      <c r="A26" s="33">
        <v>0.04</v>
      </c>
      <c r="B26" s="87">
        <f t="shared" ref="B26:B30" si="0">B25+0.0045</f>
        <v>1.0208897497020262</v>
      </c>
      <c r="C26" s="63" t="s">
        <v>35</v>
      </c>
      <c r="D26" s="14"/>
    </row>
    <row r="27" spans="1:15" x14ac:dyDescent="0.25">
      <c r="A27" s="33">
        <v>4.4999999999999998E-2</v>
      </c>
      <c r="B27" s="87">
        <f t="shared" si="0"/>
        <v>1.0253897497020261</v>
      </c>
      <c r="C27" s="63" t="s">
        <v>35</v>
      </c>
      <c r="D27" s="14"/>
    </row>
    <row r="28" spans="1:15" x14ac:dyDescent="0.25">
      <c r="A28" s="33">
        <v>0.05</v>
      </c>
      <c r="B28" s="87">
        <f t="shared" si="0"/>
        <v>1.0298897497020261</v>
      </c>
      <c r="C28" s="63" t="s">
        <v>35</v>
      </c>
      <c r="D28" s="14"/>
    </row>
    <row r="29" spans="1:15" x14ac:dyDescent="0.25">
      <c r="A29" s="33">
        <v>5.5E-2</v>
      </c>
      <c r="B29" s="87">
        <f t="shared" si="0"/>
        <v>1.034389749702026</v>
      </c>
      <c r="C29" s="63" t="s">
        <v>35</v>
      </c>
      <c r="D29" s="14"/>
      <c r="E29" s="7"/>
      <c r="L29" s="71"/>
      <c r="M29" s="71"/>
      <c r="N29" s="71"/>
    </row>
    <row r="30" spans="1:15" ht="15.75" thickBot="1" x14ac:dyDescent="0.3">
      <c r="A30" s="34">
        <v>0.06</v>
      </c>
      <c r="B30" s="35">
        <f t="shared" si="0"/>
        <v>1.038889749702026</v>
      </c>
      <c r="C30" s="19" t="s">
        <v>35</v>
      </c>
      <c r="D30" s="20"/>
    </row>
    <row r="31" spans="1:15" x14ac:dyDescent="0.25">
      <c r="B31" s="7"/>
    </row>
    <row r="32" spans="1:15" ht="15.75" thickBot="1" x14ac:dyDescent="0.3">
      <c r="B32" s="7"/>
    </row>
    <row r="33" spans="2:30" ht="26.1" customHeight="1" thickBot="1" x14ac:dyDescent="0.3">
      <c r="C33" s="30" t="s">
        <v>32</v>
      </c>
      <c r="D33" s="164" t="s">
        <v>130</v>
      </c>
      <c r="E33" s="165"/>
      <c r="F33" s="166"/>
      <c r="G33" s="164" t="s">
        <v>28</v>
      </c>
      <c r="H33" s="165"/>
      <c r="I33" s="166"/>
      <c r="L33" s="74" t="s">
        <v>93</v>
      </c>
      <c r="M33" s="74" t="s">
        <v>94</v>
      </c>
      <c r="N33" s="74" t="s">
        <v>92</v>
      </c>
      <c r="O33" s="74" t="s">
        <v>95</v>
      </c>
      <c r="P33" s="74" t="s">
        <v>96</v>
      </c>
      <c r="Q33" s="74" t="s">
        <v>105</v>
      </c>
      <c r="R33" s="74" t="s">
        <v>106</v>
      </c>
      <c r="S33" s="74" t="s">
        <v>121</v>
      </c>
      <c r="T33" s="75" t="s">
        <v>97</v>
      </c>
      <c r="U33" s="75"/>
      <c r="V33" s="75" t="s">
        <v>122</v>
      </c>
      <c r="W33" s="75" t="s">
        <v>98</v>
      </c>
      <c r="X33" s="75"/>
      <c r="Y33" s="74" t="s">
        <v>82</v>
      </c>
      <c r="Z33" s="74" t="s">
        <v>81</v>
      </c>
      <c r="AA33" s="74" t="s">
        <v>83</v>
      </c>
      <c r="AB33" s="74" t="s">
        <v>84</v>
      </c>
      <c r="AC33" s="74" t="s">
        <v>85</v>
      </c>
      <c r="AD33" s="74" t="s">
        <v>86</v>
      </c>
    </row>
    <row r="34" spans="2:30" x14ac:dyDescent="0.25">
      <c r="D34" s="8" t="s">
        <v>21</v>
      </c>
      <c r="E34" s="9" t="s">
        <v>22</v>
      </c>
      <c r="F34" s="10" t="s">
        <v>23</v>
      </c>
      <c r="G34" s="8" t="s">
        <v>25</v>
      </c>
      <c r="H34" s="9" t="s">
        <v>26</v>
      </c>
      <c r="I34" s="10" t="s">
        <v>27</v>
      </c>
      <c r="L34" s="68">
        <v>4.2</v>
      </c>
      <c r="M34" s="68">
        <f>(Tryckfall!E34+Tryckfall!B34)/1000</f>
        <v>17.399999999999999</v>
      </c>
      <c r="N34" s="68">
        <v>16</v>
      </c>
      <c r="O34" s="72">
        <f>Blad1!$E$12*Effektfaktor!L34</f>
        <v>848.25703043994417</v>
      </c>
      <c r="P34" s="73">
        <f>O34/(4186*(Blad1!$C$6-Blad1!$C$7))</f>
        <v>2.0264143106544296E-2</v>
      </c>
      <c r="Q34" s="73">
        <f>((3.1415*0.1^2)/4)*M34*10</f>
        <v>1.3665525000000001</v>
      </c>
      <c r="R34" s="79">
        <f>10.65+((10.65/3)*1.2)</f>
        <v>14.91</v>
      </c>
      <c r="S34" s="79" t="s">
        <v>119</v>
      </c>
      <c r="T34" s="68" t="s">
        <v>124</v>
      </c>
      <c r="U34" s="68">
        <v>81063002</v>
      </c>
      <c r="V34" s="68" t="s">
        <v>119</v>
      </c>
      <c r="W34" s="68" t="s">
        <v>126</v>
      </c>
      <c r="X34" s="68">
        <v>81061212</v>
      </c>
      <c r="Y34" s="68" t="s">
        <v>87</v>
      </c>
      <c r="Z34" s="68" t="s">
        <v>113</v>
      </c>
      <c r="AA34" s="68">
        <v>830121</v>
      </c>
      <c r="AB34" s="68" t="s">
        <v>87</v>
      </c>
      <c r="AC34" s="68" t="s">
        <v>114</v>
      </c>
      <c r="AD34" s="98">
        <v>830122</v>
      </c>
    </row>
    <row r="35" spans="2:30" x14ac:dyDescent="0.25">
      <c r="B35" s="3"/>
      <c r="D35" s="11">
        <f>3004179.57297325*Blad1!B16^4-183436.797949433*Blad1!B16^3+3113.45021384768*Blad1!B16^2+2.1238141184949*Blad1!B16+0.7</f>
        <v>2.3145631367716506</v>
      </c>
      <c r="E35" s="3">
        <f>3004179.57297325*F42^4-183436.797949433*F42^3+3113.45021384768*F42^2+2.1238141184949*F42+0.7</f>
        <v>151.97431244211876</v>
      </c>
      <c r="F35" s="12">
        <f>3004179.57297325*F47^4-183436.797949433*F47^3+3113.45021384768*F47^2+2.1238141184949*F47+0.7</f>
        <v>5623449036.5203609</v>
      </c>
      <c r="G35" s="11">
        <f>0.9*Blad1!B16+0.9894</f>
        <v>1.0284398117838707</v>
      </c>
      <c r="H35" s="3">
        <f>0.9*I42+0.9894</f>
        <v>1.0295539296278724</v>
      </c>
      <c r="I35" s="12">
        <f>0.9*I47+0.9894</f>
        <v>1.0295974287310701</v>
      </c>
      <c r="L35" s="68">
        <v>4.8</v>
      </c>
      <c r="M35" s="68">
        <f>(Tryckfall!E34+Tryckfall!C34)/1000</f>
        <v>19.8</v>
      </c>
      <c r="N35" s="68">
        <v>16</v>
      </c>
      <c r="O35" s="72">
        <f>Blad1!$E$12*Effektfaktor!L35</f>
        <v>969.43660621707897</v>
      </c>
      <c r="P35" s="73">
        <f>O35/(4186*(Blad1!$C$6-Blad1!$C$7))</f>
        <v>2.3159020693193477E-2</v>
      </c>
      <c r="Q35" s="73">
        <f t="shared" ref="Q35:Q41" si="1">((3.1415*0.1^2)/4)*M35*10</f>
        <v>1.5550425000000003</v>
      </c>
      <c r="R35" s="79">
        <f>10.65+((10.65/3)*1.8)</f>
        <v>17.04</v>
      </c>
      <c r="S35" s="79" t="s">
        <v>119</v>
      </c>
      <c r="T35" s="68" t="s">
        <v>125</v>
      </c>
      <c r="U35" s="68">
        <v>81062402</v>
      </c>
      <c r="V35" s="68" t="s">
        <v>119</v>
      </c>
      <c r="W35" s="68" t="s">
        <v>127</v>
      </c>
      <c r="X35" s="68">
        <v>81062412</v>
      </c>
      <c r="Y35" s="68" t="s">
        <v>87</v>
      </c>
      <c r="Z35" s="68" t="s">
        <v>113</v>
      </c>
      <c r="AA35" s="68">
        <v>830121</v>
      </c>
      <c r="AB35" s="68" t="s">
        <v>87</v>
      </c>
      <c r="AC35" s="68" t="s">
        <v>114</v>
      </c>
      <c r="AD35" s="98">
        <v>830122</v>
      </c>
    </row>
    <row r="36" spans="2:30" x14ac:dyDescent="0.25">
      <c r="B36" s="3"/>
      <c r="D36" s="99" t="e">
        <f>-2811774.85098743*Blad1!#REF!^4+215630.733838141*Blad1!#REF!^3-6195.37183380685*Blad1!#REF!^2+80.4933514661061*Blad1!#REF!+0.6</f>
        <v>#REF!</v>
      </c>
      <c r="E36" s="100">
        <f>-2811774.85098743*F43^4+215630.733838141*F43^3-6195.37183380685*F43^2+80.4933514661061*F43+0.6</f>
        <v>0.6</v>
      </c>
      <c r="F36" s="101">
        <f>-2811774.85098743*F48^4+215630.733838141*F48^3-6195.37183380685*F48^2+80.4933514661061*F48+0.6</f>
        <v>0.6</v>
      </c>
      <c r="G36" s="99" t="e">
        <f>0.89*Blad1!#REF!+0.9897</f>
        <v>#REF!</v>
      </c>
      <c r="H36" s="100">
        <f>0.89*I43+0.9897</f>
        <v>0.98970000000000002</v>
      </c>
      <c r="I36" s="101">
        <f>0.89*I48+0.9897</f>
        <v>0.98970000000000002</v>
      </c>
      <c r="L36" s="68">
        <v>5.4</v>
      </c>
      <c r="M36" s="68">
        <f>(Tryckfall!E34+Tryckfall!D34)/1000</f>
        <v>22.4</v>
      </c>
      <c r="N36" s="68">
        <v>16</v>
      </c>
      <c r="O36" s="72">
        <f>Blad1!$E$12*Effektfaktor!L36</f>
        <v>1090.616181994214</v>
      </c>
      <c r="P36" s="73">
        <f>O36/(4186*(Blad1!$C$6-Blad1!$C$7))</f>
        <v>2.6053898279842665E-2</v>
      </c>
      <c r="Q36" s="73">
        <f t="shared" si="1"/>
        <v>1.7592400000000001</v>
      </c>
      <c r="R36" s="79">
        <f>10.65+((10.65/3)*2.4)</f>
        <v>19.170000000000002</v>
      </c>
      <c r="S36" s="79" t="s">
        <v>119</v>
      </c>
      <c r="T36" s="68" t="s">
        <v>124</v>
      </c>
      <c r="U36" s="68">
        <v>81063002</v>
      </c>
      <c r="V36" s="68" t="s">
        <v>119</v>
      </c>
      <c r="W36" s="68" t="s">
        <v>127</v>
      </c>
      <c r="X36" s="68">
        <v>81062412</v>
      </c>
      <c r="Y36" s="68" t="s">
        <v>87</v>
      </c>
      <c r="Z36" s="68" t="s">
        <v>113</v>
      </c>
      <c r="AA36" s="68">
        <v>830121</v>
      </c>
      <c r="AB36" s="68" t="s">
        <v>87</v>
      </c>
      <c r="AC36" s="68" t="s">
        <v>114</v>
      </c>
      <c r="AD36" s="98">
        <v>830122</v>
      </c>
    </row>
    <row r="37" spans="2:30" x14ac:dyDescent="0.25">
      <c r="B37" s="3"/>
      <c r="D37" s="99" t="e">
        <f>-2811774.85098743*Blad1!#REF!^4+215630.733838141*Blad1!#REF!^3-6195.37183380685*Blad1!#REF!^2+80.4933514661061*Blad1!#REF!+0.6</f>
        <v>#REF!</v>
      </c>
      <c r="E37" s="100">
        <f>-2811774.85098743*F44^4+215630.733838141*F44^3-6195.37183380685*F44^2+80.4933514661061*F44+0.6</f>
        <v>0.6</v>
      </c>
      <c r="F37" s="101">
        <f>-2811774.85098743*F49^4+215630.733838141*F49^3-6195.37183380685*F49^2+80.4933514661061*F49+0.6</f>
        <v>0.6</v>
      </c>
      <c r="G37" s="99" t="e">
        <f>0.89*Blad1!#REF!+0.9897</f>
        <v>#REF!</v>
      </c>
      <c r="H37" s="100">
        <f>0.89*I44+0.9897</f>
        <v>0.98970000000000002</v>
      </c>
      <c r="I37" s="101">
        <f>0.89*I49+0.9897</f>
        <v>0.98970000000000002</v>
      </c>
      <c r="L37" s="79">
        <v>6</v>
      </c>
      <c r="M37" s="68">
        <f>(Tryckfall!E34+Tryckfall!E34)/1000</f>
        <v>24.8</v>
      </c>
      <c r="N37" s="68">
        <v>16</v>
      </c>
      <c r="O37" s="72">
        <f>Blad1!$E$12*Effektfaktor!L37</f>
        <v>1211.7957577713487</v>
      </c>
      <c r="P37" s="73">
        <f>O37/(4186*(Blad1!$C$6-Blad1!$C$7))</f>
        <v>2.8948775866491847E-2</v>
      </c>
      <c r="Q37" s="73">
        <f t="shared" si="1"/>
        <v>1.9477300000000004</v>
      </c>
      <c r="R37" s="79">
        <f>10.65*2</f>
        <v>21.3</v>
      </c>
      <c r="S37" s="79" t="s">
        <v>119</v>
      </c>
      <c r="T37" s="68" t="s">
        <v>124</v>
      </c>
      <c r="U37" s="68">
        <v>81063002</v>
      </c>
      <c r="V37" s="68" t="s">
        <v>119</v>
      </c>
      <c r="W37" s="68" t="s">
        <v>128</v>
      </c>
      <c r="X37" s="68">
        <v>81063012</v>
      </c>
      <c r="Y37" s="68" t="s">
        <v>87</v>
      </c>
      <c r="Z37" s="68" t="s">
        <v>113</v>
      </c>
      <c r="AA37" s="68">
        <v>830121</v>
      </c>
      <c r="AB37" s="68" t="s">
        <v>87</v>
      </c>
      <c r="AC37" s="68" t="s">
        <v>114</v>
      </c>
      <c r="AD37" s="98">
        <v>830122</v>
      </c>
    </row>
    <row r="38" spans="2:30" x14ac:dyDescent="0.25">
      <c r="B38" s="3"/>
      <c r="D38" s="99" t="e">
        <f>-2811774.85098743*Blad1!#REF!^4+215630.733838141*Blad1!#REF!^3-6195.37183380685*Blad1!#REF!^2+80.4933514661061*Blad1!#REF!+0.6</f>
        <v>#REF!</v>
      </c>
      <c r="E38" s="100">
        <f>-2811774.85098743*F45^4+215630.733838141*F45^3-6195.37183380685*F45^2+80.4933514661061*F45+0.6</f>
        <v>0.6</v>
      </c>
      <c r="F38" s="101">
        <f>-2811774.85098743*F50^4+215630.733838141*F50^3-6195.37183380685*F50^2+80.4933514661061*F50+0.6</f>
        <v>0.6</v>
      </c>
      <c r="G38" s="99" t="e">
        <f>0.89*Blad1!#REF!+0.9897</f>
        <v>#REF!</v>
      </c>
      <c r="H38" s="100">
        <f>0.89*I45+0.9897</f>
        <v>0.98970000000000002</v>
      </c>
      <c r="I38" s="101">
        <f>0.89*I50+0.9897</f>
        <v>0.98970000000000002</v>
      </c>
      <c r="L38" s="68">
        <v>7.2</v>
      </c>
      <c r="M38" s="68">
        <f>((Tryckfall!E34*2)+Tryckfall!B34)/1000</f>
        <v>29.8</v>
      </c>
      <c r="N38" s="68">
        <v>24</v>
      </c>
      <c r="O38" s="72">
        <f>Blad1!$E$12*Effektfaktor!L38</f>
        <v>1454.1549093256185</v>
      </c>
      <c r="P38" s="73">
        <f>O38/(4186*(Blad1!$C$6-Blad1!$C$7))</f>
        <v>3.4738531039790216E-2</v>
      </c>
      <c r="Q38" s="73">
        <f t="shared" si="1"/>
        <v>2.3404175000000005</v>
      </c>
      <c r="R38" s="79">
        <f>(2*10.65)+((10.65/3)*1.2)</f>
        <v>25.560000000000002</v>
      </c>
      <c r="S38" s="79" t="s">
        <v>87</v>
      </c>
      <c r="T38" s="68" t="s">
        <v>125</v>
      </c>
      <c r="U38" s="68">
        <v>81062402</v>
      </c>
      <c r="V38" s="68" t="s">
        <v>119</v>
      </c>
      <c r="W38" s="68" t="s">
        <v>127</v>
      </c>
      <c r="X38" s="68">
        <v>81062412</v>
      </c>
      <c r="Y38" s="68" t="s">
        <v>88</v>
      </c>
      <c r="Z38" s="68" t="s">
        <v>113</v>
      </c>
      <c r="AA38" s="68">
        <v>830121</v>
      </c>
      <c r="AB38" s="68" t="s">
        <v>87</v>
      </c>
      <c r="AC38" s="68" t="s">
        <v>114</v>
      </c>
      <c r="AD38" s="98">
        <v>830122</v>
      </c>
    </row>
    <row r="39" spans="2:30" x14ac:dyDescent="0.25">
      <c r="D39" s="13"/>
      <c r="F39" s="14"/>
      <c r="G39" s="13"/>
      <c r="I39" s="14"/>
      <c r="L39" s="68">
        <v>7.8</v>
      </c>
      <c r="M39" s="68">
        <f>((Tryckfall!E34*2)+Tryckfall!C34)/1000</f>
        <v>32.200000000000003</v>
      </c>
      <c r="N39" s="68">
        <v>24</v>
      </c>
      <c r="O39" s="72">
        <f>Blad1!$E$12*Effektfaktor!L39</f>
        <v>1575.3344851027534</v>
      </c>
      <c r="P39" s="73">
        <f>O39/(4186*(Blad1!$C$6-Blad1!$C$7))</f>
        <v>3.76334086264394E-2</v>
      </c>
      <c r="Q39" s="73">
        <f t="shared" si="1"/>
        <v>2.5289075000000008</v>
      </c>
      <c r="R39" s="79">
        <f>(2*10.65)+((10.65/3)*1.8)</f>
        <v>27.69</v>
      </c>
      <c r="S39" s="79" t="s">
        <v>87</v>
      </c>
      <c r="T39" s="68" t="s">
        <v>124</v>
      </c>
      <c r="U39" s="68">
        <v>81063002</v>
      </c>
      <c r="V39" s="68" t="s">
        <v>119</v>
      </c>
      <c r="W39" s="68" t="s">
        <v>129</v>
      </c>
      <c r="X39" s="68">
        <v>81061812</v>
      </c>
      <c r="Y39" s="68" t="s">
        <v>88</v>
      </c>
      <c r="Z39" s="68" t="s">
        <v>113</v>
      </c>
      <c r="AA39" s="68">
        <v>830121</v>
      </c>
      <c r="AB39" s="68" t="s">
        <v>87</v>
      </c>
      <c r="AC39" s="68" t="s">
        <v>114</v>
      </c>
      <c r="AD39" s="98">
        <v>830122</v>
      </c>
    </row>
    <row r="40" spans="2:30" x14ac:dyDescent="0.25">
      <c r="D40" s="13"/>
      <c r="F40" s="14"/>
      <c r="G40" s="13"/>
      <c r="I40" s="14"/>
      <c r="L40" s="68">
        <v>8.4</v>
      </c>
      <c r="M40" s="68">
        <f>((Tryckfall!E34*2)+Tryckfall!D34)/1000</f>
        <v>34.799999999999997</v>
      </c>
      <c r="N40" s="68">
        <v>24</v>
      </c>
      <c r="O40" s="72">
        <f>Blad1!$E$12*Effektfaktor!L40</f>
        <v>1696.5140608798883</v>
      </c>
      <c r="P40" s="73">
        <f>O40/(4186*(Blad1!$C$6-Blad1!$C$7))</f>
        <v>4.0528286213088592E-2</v>
      </c>
      <c r="Q40" s="73">
        <f t="shared" si="1"/>
        <v>2.7331050000000001</v>
      </c>
      <c r="R40" s="79">
        <f>(2*10.65)+((10.65/3)*2.4)</f>
        <v>29.82</v>
      </c>
      <c r="S40" s="79" t="s">
        <v>87</v>
      </c>
      <c r="T40" s="68" t="s">
        <v>124</v>
      </c>
      <c r="U40" s="68">
        <v>81063002</v>
      </c>
      <c r="V40" s="68" t="s">
        <v>119</v>
      </c>
      <c r="W40" s="68" t="s">
        <v>127</v>
      </c>
      <c r="X40" s="68">
        <v>81062412</v>
      </c>
      <c r="Y40" s="68" t="s">
        <v>88</v>
      </c>
      <c r="Z40" s="68" t="s">
        <v>113</v>
      </c>
      <c r="AA40" s="68">
        <v>830121</v>
      </c>
      <c r="AB40" s="68" t="s">
        <v>87</v>
      </c>
      <c r="AC40" s="68" t="s">
        <v>114</v>
      </c>
      <c r="AD40" s="98">
        <v>830122</v>
      </c>
    </row>
    <row r="41" spans="2:30" x14ac:dyDescent="0.25">
      <c r="D41" s="23" t="s">
        <v>17</v>
      </c>
      <c r="E41" s="1" t="s">
        <v>18</v>
      </c>
      <c r="F41" s="24" t="s">
        <v>6</v>
      </c>
      <c r="G41" s="23" t="s">
        <v>17</v>
      </c>
      <c r="H41" s="1" t="s">
        <v>18</v>
      </c>
      <c r="I41" s="24" t="s">
        <v>6</v>
      </c>
      <c r="L41" s="79">
        <v>9</v>
      </c>
      <c r="M41" s="68">
        <f>((Tryckfall!E34*3))/1000</f>
        <v>37.200000000000003</v>
      </c>
      <c r="N41" s="68">
        <v>24</v>
      </c>
      <c r="O41" s="72">
        <f>Blad1!$E$12*Effektfaktor!L41</f>
        <v>1817.693636657023</v>
      </c>
      <c r="P41" s="73">
        <f>O41/(4186*(Blad1!$C$6-Blad1!$C$7))</f>
        <v>4.342316379973777E-2</v>
      </c>
      <c r="Q41" s="73">
        <f t="shared" si="1"/>
        <v>2.9215950000000008</v>
      </c>
      <c r="R41" s="79">
        <f>(3*10.65)</f>
        <v>31.950000000000003</v>
      </c>
      <c r="S41" s="79" t="s">
        <v>87</v>
      </c>
      <c r="T41" s="68" t="s">
        <v>124</v>
      </c>
      <c r="U41" s="68">
        <v>81063002</v>
      </c>
      <c r="V41" s="68" t="s">
        <v>119</v>
      </c>
      <c r="W41" s="68" t="s">
        <v>128</v>
      </c>
      <c r="X41" s="68">
        <v>81063012</v>
      </c>
      <c r="Y41" s="68" t="s">
        <v>88</v>
      </c>
      <c r="Z41" s="68" t="s">
        <v>113</v>
      </c>
      <c r="AA41" s="68">
        <v>830121</v>
      </c>
      <c r="AB41" s="68" t="s">
        <v>87</v>
      </c>
      <c r="AC41" s="68" t="s">
        <v>114</v>
      </c>
      <c r="AD41" s="98">
        <v>830122</v>
      </c>
    </row>
    <row r="42" spans="2:30" x14ac:dyDescent="0.25">
      <c r="C42" s="78" t="s">
        <v>46</v>
      </c>
      <c r="D42" s="77">
        <f>Blad1!F6</f>
        <v>9</v>
      </c>
      <c r="E42" s="6">
        <f>Blad1!B14*Effektfaktor!D35</f>
        <v>4207.1666853507486</v>
      </c>
      <c r="F42" s="15">
        <f>E42/(4190*(Blad1!$C$6-Blad1!$C$7))</f>
        <v>0.10040970609428994</v>
      </c>
      <c r="G42" s="77">
        <f>D42</f>
        <v>9</v>
      </c>
      <c r="H42" s="6">
        <f>Blad1!B14*G35</f>
        <v>1869.3885015642882</v>
      </c>
      <c r="I42" s="15">
        <f>H42/(4190*(Blad1!$C$6-Blad1!$C$7))</f>
        <v>4.4615477364302818E-2</v>
      </c>
      <c r="L42" s="94">
        <v>9.6</v>
      </c>
      <c r="M42">
        <f>((Tryckfall!D34*4))/1000</f>
        <v>40</v>
      </c>
      <c r="N42" s="94">
        <v>32</v>
      </c>
      <c r="O42" s="6">
        <f>Blad1!$E$12*Effektfaktor!L42</f>
        <v>1938.8732124341579</v>
      </c>
      <c r="P42" s="5">
        <f>O42/(4186*(Blad1!$C$6-Blad1!$C$7))</f>
        <v>4.6318041386386954E-2</v>
      </c>
      <c r="Q42" s="5">
        <f>((3.1415*0.1^2)/4)*M42*10</f>
        <v>3.1415000000000006</v>
      </c>
      <c r="R42" s="102">
        <f>(10.65/3)*2.4*4</f>
        <v>34.08</v>
      </c>
      <c r="S42" s="102" t="s">
        <v>120</v>
      </c>
      <c r="T42" s="68" t="s">
        <v>125</v>
      </c>
      <c r="U42" s="68">
        <v>81062402</v>
      </c>
      <c r="V42" s="68" t="s">
        <v>119</v>
      </c>
      <c r="W42" s="68" t="s">
        <v>127</v>
      </c>
      <c r="X42" s="105">
        <v>81062412</v>
      </c>
      <c r="Y42" s="94" t="s">
        <v>89</v>
      </c>
      <c r="Z42" s="68" t="s">
        <v>113</v>
      </c>
      <c r="AA42" s="68">
        <v>830121</v>
      </c>
      <c r="AB42" s="68" t="s">
        <v>87</v>
      </c>
      <c r="AC42" s="68" t="s">
        <v>114</v>
      </c>
      <c r="AD42" s="98">
        <v>830122</v>
      </c>
    </row>
    <row r="43" spans="2:30" x14ac:dyDescent="0.25">
      <c r="D43" s="13"/>
      <c r="E43" s="6"/>
      <c r="F43" s="15"/>
      <c r="G43" s="13"/>
      <c r="H43" s="6"/>
      <c r="I43" s="15"/>
      <c r="L43" s="68">
        <v>10.199999999999999</v>
      </c>
      <c r="M43" s="68">
        <f>((Tryckfall!E34*3)+Tryckfall!B34)/1000</f>
        <v>42.2</v>
      </c>
      <c r="N43" s="68">
        <v>32</v>
      </c>
      <c r="O43" s="72">
        <f>Blad1!$E$12*Effektfaktor!L43</f>
        <v>2060.0527882112929</v>
      </c>
      <c r="P43" s="73">
        <f>O43/(4186*(Blad1!$C$6-Blad1!$C$7))</f>
        <v>4.9212918973036139E-2</v>
      </c>
      <c r="Q43" s="73">
        <f>((3.1415*0.1^2)/4)*M43*10</f>
        <v>3.3142825000000009</v>
      </c>
      <c r="R43" s="79">
        <f>(3*10.65)+((10.65/3)*1.2)</f>
        <v>36.21</v>
      </c>
      <c r="S43" s="102" t="s">
        <v>120</v>
      </c>
      <c r="T43" s="68" t="s">
        <v>124</v>
      </c>
      <c r="U43" s="68">
        <v>81063002</v>
      </c>
      <c r="V43" s="68" t="s">
        <v>119</v>
      </c>
      <c r="W43" s="68" t="s">
        <v>126</v>
      </c>
      <c r="X43" s="68">
        <v>81061212</v>
      </c>
      <c r="Y43" s="68" t="s">
        <v>89</v>
      </c>
      <c r="Z43" s="68" t="s">
        <v>113</v>
      </c>
      <c r="AA43" s="68">
        <v>830121</v>
      </c>
      <c r="AB43" s="68" t="s">
        <v>87</v>
      </c>
      <c r="AC43" s="68" t="s">
        <v>114</v>
      </c>
      <c r="AD43" s="98">
        <v>830122</v>
      </c>
    </row>
    <row r="44" spans="2:30" x14ac:dyDescent="0.25">
      <c r="D44" s="13"/>
      <c r="E44" s="6"/>
      <c r="F44" s="15"/>
      <c r="G44" s="13"/>
      <c r="H44" s="6"/>
      <c r="I44" s="15"/>
      <c r="L44" s="68">
        <v>10.8</v>
      </c>
      <c r="M44" s="68">
        <f>((Tryckfall!E34*3)+Tryckfall!C34)/1000</f>
        <v>44.6</v>
      </c>
      <c r="N44" s="68">
        <v>32</v>
      </c>
      <c r="O44" s="72">
        <f>Blad1!$E$12*Effektfaktor!L44</f>
        <v>2181.232363988428</v>
      </c>
      <c r="P44" s="73">
        <f>O44/(4186*(Blad1!$C$6-Blad1!$C$7))</f>
        <v>5.2107796559685331E-2</v>
      </c>
      <c r="Q44" s="73">
        <f>((3.1415*0.1^2)/4)*M44*10</f>
        <v>3.5027725000000007</v>
      </c>
      <c r="R44" s="79">
        <f>(3*10.65)+((10.65/3)*1.8)</f>
        <v>38.340000000000003</v>
      </c>
      <c r="S44" s="102" t="s">
        <v>120</v>
      </c>
      <c r="T44" s="68" t="s">
        <v>124</v>
      </c>
      <c r="U44" s="68">
        <v>81063002</v>
      </c>
      <c r="V44" s="68" t="s">
        <v>119</v>
      </c>
      <c r="W44" s="68" t="s">
        <v>129</v>
      </c>
      <c r="X44" s="68">
        <v>81061812</v>
      </c>
      <c r="Y44" s="68" t="s">
        <v>89</v>
      </c>
      <c r="Z44" s="68" t="s">
        <v>113</v>
      </c>
      <c r="AA44" s="68">
        <v>830121</v>
      </c>
      <c r="AB44" s="68" t="s">
        <v>87</v>
      </c>
      <c r="AC44" s="68" t="s">
        <v>114</v>
      </c>
      <c r="AD44" s="98">
        <v>830122</v>
      </c>
    </row>
    <row r="45" spans="2:30" x14ac:dyDescent="0.25">
      <c r="D45" s="13"/>
      <c r="E45" s="6"/>
      <c r="F45" s="15"/>
      <c r="G45" s="13"/>
      <c r="H45" s="6"/>
      <c r="I45" s="15"/>
      <c r="L45" s="68">
        <v>11.4</v>
      </c>
      <c r="M45" s="68">
        <f>((Tryckfall!E34*3)+Tryckfall!D34)/1000</f>
        <v>47.2</v>
      </c>
      <c r="N45" s="68">
        <v>32</v>
      </c>
      <c r="O45" s="72">
        <f>Blad1!$E$12*Effektfaktor!L45</f>
        <v>2302.4119397655627</v>
      </c>
      <c r="P45" s="73">
        <f>O45/(4186*(Blad1!$C$6-Blad1!$C$7))</f>
        <v>5.5002674146334515E-2</v>
      </c>
      <c r="Q45" s="73">
        <f>((3.1415*0.1^2)/4)*M45*10</f>
        <v>3.706970000000001</v>
      </c>
      <c r="R45" s="79">
        <f>(3*10.65)+((10.65/3)*2.4)</f>
        <v>40.47</v>
      </c>
      <c r="S45" s="102" t="s">
        <v>120</v>
      </c>
      <c r="T45" s="68" t="s">
        <v>124</v>
      </c>
      <c r="U45" s="68">
        <v>81063002</v>
      </c>
      <c r="V45" s="68" t="s">
        <v>119</v>
      </c>
      <c r="W45" s="68" t="s">
        <v>127</v>
      </c>
      <c r="X45" s="68">
        <v>81062412</v>
      </c>
      <c r="Y45" s="68" t="s">
        <v>89</v>
      </c>
      <c r="Z45" s="68" t="s">
        <v>113</v>
      </c>
      <c r="AA45" s="68">
        <v>830121</v>
      </c>
      <c r="AB45" s="68" t="s">
        <v>87</v>
      </c>
      <c r="AC45" s="68" t="s">
        <v>114</v>
      </c>
      <c r="AD45" s="98">
        <v>830122</v>
      </c>
    </row>
    <row r="46" spans="2:30" x14ac:dyDescent="0.25">
      <c r="D46" s="23" t="s">
        <v>19</v>
      </c>
      <c r="E46" s="1" t="s">
        <v>18</v>
      </c>
      <c r="F46" s="24" t="s">
        <v>6</v>
      </c>
      <c r="G46" s="23" t="s">
        <v>19</v>
      </c>
      <c r="H46" s="25" t="s">
        <v>18</v>
      </c>
      <c r="I46" s="24" t="s">
        <v>6</v>
      </c>
      <c r="L46" s="79">
        <v>12</v>
      </c>
      <c r="M46" s="68">
        <f>((Tryckfall!E34*4))/1000</f>
        <v>49.6</v>
      </c>
      <c r="N46" s="68">
        <v>32</v>
      </c>
      <c r="O46" s="72">
        <f>Blad1!$E$12*Effektfaktor!L46</f>
        <v>2423.5915155426974</v>
      </c>
      <c r="P46" s="73">
        <f>O46/(4186*(Blad1!$C$6-Blad1!$C$7))</f>
        <v>5.7897551732983693E-2</v>
      </c>
      <c r="Q46" s="73">
        <f>((3.1415*0.1^2)/4)*M46*10</f>
        <v>3.8954600000000008</v>
      </c>
      <c r="R46" s="79">
        <f>4*10.65</f>
        <v>42.6</v>
      </c>
      <c r="S46" s="102" t="s">
        <v>120</v>
      </c>
      <c r="T46" s="68" t="s">
        <v>124</v>
      </c>
      <c r="U46" s="68">
        <v>81063002</v>
      </c>
      <c r="V46" s="68" t="s">
        <v>119</v>
      </c>
      <c r="W46" s="68" t="s">
        <v>128</v>
      </c>
      <c r="X46" s="68">
        <v>81063012</v>
      </c>
      <c r="Y46" s="68" t="s">
        <v>89</v>
      </c>
      <c r="Z46" s="68" t="s">
        <v>113</v>
      </c>
      <c r="AA46" s="68">
        <v>830121</v>
      </c>
      <c r="AB46" s="68" t="s">
        <v>87</v>
      </c>
      <c r="AC46" s="68" t="s">
        <v>114</v>
      </c>
      <c r="AD46" s="98">
        <v>830122</v>
      </c>
    </row>
    <row r="47" spans="2:30" x14ac:dyDescent="0.25">
      <c r="C47" s="78" t="s">
        <v>46</v>
      </c>
      <c r="D47" s="77">
        <f>D42</f>
        <v>9</v>
      </c>
      <c r="E47" s="6">
        <f>Blad1!B14*Effektfaktor!E35</f>
        <v>276242.7406613655</v>
      </c>
      <c r="F47" s="15">
        <f>E47/(4190*(Blad1!$C$6-Blad1!$C$7))</f>
        <v>6.5929055050445227</v>
      </c>
      <c r="G47" s="77">
        <f>D42</f>
        <v>9</v>
      </c>
      <c r="H47" s="6">
        <f>Blad1!B14*Effektfaktor!H35</f>
        <v>1871.4136264798162</v>
      </c>
      <c r="I47" s="15">
        <f>H47/(4190*(Blad1!$C$6-Blad1!$C$7))</f>
        <v>4.4663809701188932E-2</v>
      </c>
      <c r="T47" s="68"/>
    </row>
    <row r="48" spans="2:30" x14ac:dyDescent="0.25">
      <c r="D48" s="13"/>
      <c r="E48" s="6"/>
      <c r="F48" s="15"/>
      <c r="G48" s="13"/>
      <c r="H48" s="6"/>
      <c r="I48" s="15"/>
    </row>
    <row r="49" spans="3:13" x14ac:dyDescent="0.25">
      <c r="D49" s="13"/>
      <c r="E49" s="6"/>
      <c r="F49" s="15"/>
      <c r="G49" s="13"/>
      <c r="H49" s="6"/>
      <c r="I49" s="15"/>
    </row>
    <row r="50" spans="3:13" x14ac:dyDescent="0.25">
      <c r="D50" s="13"/>
      <c r="E50" s="6"/>
      <c r="F50" s="15"/>
      <c r="G50" s="13"/>
      <c r="H50" s="6"/>
      <c r="I50" s="15"/>
    </row>
    <row r="51" spans="3:13" x14ac:dyDescent="0.25">
      <c r="D51" s="23" t="s">
        <v>20</v>
      </c>
      <c r="E51" s="1" t="s">
        <v>18</v>
      </c>
      <c r="F51" s="24" t="s">
        <v>6</v>
      </c>
      <c r="G51" s="23" t="s">
        <v>20</v>
      </c>
      <c r="H51" s="1" t="s">
        <v>18</v>
      </c>
      <c r="I51" s="24" t="s">
        <v>6</v>
      </c>
    </row>
    <row r="52" spans="3:13" x14ac:dyDescent="0.25">
      <c r="C52" s="78" t="s">
        <v>46</v>
      </c>
      <c r="D52" s="77">
        <f>D42</f>
        <v>9</v>
      </c>
      <c r="E52" s="6">
        <f>Blad1!B14*Effektfaktor!F35</f>
        <v>10221707529748.127</v>
      </c>
      <c r="F52" s="15">
        <f>E52/(4190*(Blad1!$C$6-Blad1!$C$7))</f>
        <v>243954833.64554003</v>
      </c>
      <c r="G52" s="77">
        <f>D42</f>
        <v>9</v>
      </c>
      <c r="H52" s="6">
        <f>Blad1!B14*Effektfaktor!I35</f>
        <v>1871.4926945228988</v>
      </c>
      <c r="I52" s="15">
        <f>H52/(4190*(Blad1!$C$6-Blad1!$C$7))</f>
        <v>4.4665696766656299E-2</v>
      </c>
    </row>
    <row r="53" spans="3:13" x14ac:dyDescent="0.25">
      <c r="D53" s="13"/>
      <c r="E53" s="6"/>
      <c r="F53" s="15"/>
      <c r="G53" s="13"/>
      <c r="H53" s="6"/>
      <c r="I53" s="15"/>
    </row>
    <row r="54" spans="3:13" x14ac:dyDescent="0.25">
      <c r="D54" s="13"/>
      <c r="E54" s="6"/>
      <c r="F54" s="15"/>
      <c r="G54" s="13"/>
      <c r="H54" s="6"/>
      <c r="I54" s="15"/>
    </row>
    <row r="55" spans="3:13" ht="15.75" thickBot="1" x14ac:dyDescent="0.3">
      <c r="D55" s="16"/>
      <c r="E55" s="17"/>
      <c r="F55" s="18"/>
      <c r="G55" s="16"/>
      <c r="H55" s="17"/>
      <c r="I55" s="18"/>
      <c r="K55" t="s">
        <v>110</v>
      </c>
    </row>
    <row r="56" spans="3:13" ht="15.75" thickBot="1" x14ac:dyDescent="0.3">
      <c r="K56" t="s">
        <v>99</v>
      </c>
    </row>
    <row r="57" spans="3:13" ht="15.75" thickBot="1" x14ac:dyDescent="0.3">
      <c r="C57" s="30" t="s">
        <v>33</v>
      </c>
      <c r="D57" s="167" t="s">
        <v>31</v>
      </c>
      <c r="E57" s="168"/>
      <c r="F57" s="169"/>
    </row>
    <row r="58" spans="3:13" x14ac:dyDescent="0.25">
      <c r="D58" s="26"/>
      <c r="E58" s="9" t="s">
        <v>18</v>
      </c>
      <c r="F58" s="10" t="s">
        <v>6</v>
      </c>
      <c r="K58" t="s">
        <v>100</v>
      </c>
      <c r="L58">
        <v>7.8E-2</v>
      </c>
      <c r="M58" t="s">
        <v>103</v>
      </c>
    </row>
    <row r="59" spans="3:13" x14ac:dyDescent="0.25">
      <c r="C59" s="78" t="s">
        <v>46</v>
      </c>
      <c r="D59" s="76">
        <f>D42</f>
        <v>9</v>
      </c>
      <c r="E59" s="6">
        <f>IF(Blad1!B16&gt;0.025,H52,Effektfaktor!E52)</f>
        <v>1871.4926945228988</v>
      </c>
      <c r="F59" s="15">
        <f>IF(Blad1!B16&gt;0.025,I52,Effektfaktor!F52)</f>
        <v>4.4665696766656299E-2</v>
      </c>
      <c r="K59" t="s">
        <v>101</v>
      </c>
      <c r="L59">
        <f>3.1415*0.1*0.1/4</f>
        <v>7.8537500000000014E-3</v>
      </c>
      <c r="M59" t="s">
        <v>11</v>
      </c>
    </row>
    <row r="60" spans="3:13" x14ac:dyDescent="0.25">
      <c r="D60" s="23"/>
      <c r="E60" s="6"/>
      <c r="F60" s="15"/>
      <c r="K60" t="s">
        <v>102</v>
      </c>
      <c r="L60" s="3">
        <f>L58/L59</f>
        <v>9.9315613560401061</v>
      </c>
      <c r="M60" t="s">
        <v>104</v>
      </c>
    </row>
    <row r="61" spans="3:13" x14ac:dyDescent="0.25">
      <c r="D61" s="23"/>
      <c r="E61" s="6"/>
      <c r="F61" s="15"/>
      <c r="L61" s="3">
        <f>L60/10</f>
        <v>0.99315613560401061</v>
      </c>
      <c r="M61" t="s">
        <v>53</v>
      </c>
    </row>
    <row r="62" spans="3:13" ht="15.75" thickBot="1" x14ac:dyDescent="0.3">
      <c r="D62" s="27"/>
      <c r="E62" s="17"/>
      <c r="F62" s="18"/>
    </row>
    <row r="63" spans="3:13" ht="15.75" thickBot="1" x14ac:dyDescent="0.3"/>
    <row r="64" spans="3:13" ht="15.75" thickBot="1" x14ac:dyDescent="0.3">
      <c r="C64" s="30" t="s">
        <v>34</v>
      </c>
      <c r="D64" s="167" t="s">
        <v>112</v>
      </c>
      <c r="E64" s="170"/>
      <c r="F64" s="171"/>
    </row>
    <row r="65" spans="3:6" x14ac:dyDescent="0.25">
      <c r="D65" s="13"/>
      <c r="E65" s="1" t="s">
        <v>18</v>
      </c>
      <c r="F65" s="24" t="s">
        <v>6</v>
      </c>
    </row>
    <row r="66" spans="3:6" x14ac:dyDescent="0.25">
      <c r="C66" s="78" t="s">
        <v>46</v>
      </c>
      <c r="D66" s="76">
        <f>D42</f>
        <v>9</v>
      </c>
      <c r="E66" s="28">
        <f>IF(AND(Blad1!B16&gt;=0.01,Blad1!B16&lt;=0.06),E59,"-")</f>
        <v>1871.4926945228988</v>
      </c>
      <c r="F66" s="29">
        <f>IF(AND(Blad1!B16&gt;=0.01,Blad1!B16&lt;=0.06),F59,"Check flow")</f>
        <v>4.4665696766656299E-2</v>
      </c>
    </row>
    <row r="67" spans="3:6" x14ac:dyDescent="0.25">
      <c r="D67" s="23"/>
      <c r="E67" s="28"/>
      <c r="F67" s="29"/>
    </row>
    <row r="68" spans="3:6" x14ac:dyDescent="0.25">
      <c r="D68" s="23"/>
      <c r="E68" s="6"/>
      <c r="F68" s="15"/>
    </row>
    <row r="69" spans="3:6" ht="15.75" thickBot="1" x14ac:dyDescent="0.3">
      <c r="D69" s="27"/>
      <c r="E69" s="17"/>
      <c r="F69" s="18"/>
    </row>
  </sheetData>
  <mergeCells count="4">
    <mergeCell ref="D33:F33"/>
    <mergeCell ref="G33:I33"/>
    <mergeCell ref="D57:F57"/>
    <mergeCell ref="D64:F64"/>
  </mergeCells>
  <phoneticPr fontId="11" type="noConversion"/>
  <dataValidations xWindow="1792" yWindow="1351" count="2">
    <dataValidation type="list" allowBlank="1" showDropDown="1" showInputMessage="1" showErrorMessage="1" error="Väj om" promptTitle="Total panellängd" prompt="Välj längd" sqref="L34:L41 N43:N46 N34:N41 L43:L46" xr:uid="{BDFF3566-CC80-4DA3-AC9E-9F00735C975E}">
      <formula1>$L$34:$L$46</formula1>
    </dataValidation>
    <dataValidation type="list" allowBlank="1" showInputMessage="1" showErrorMessage="1" error="Välj om" promptTitle="Total panellängd" prompt="Välj längd" sqref="M29:N29" xr:uid="{08661D0E-FC04-4282-8537-12B776488837}">
      <formula1>$L$34:$L$46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F6C3-5A84-46CF-8A18-94FBEBACE163}">
  <sheetPr codeName="Blad3"/>
  <dimension ref="A1:V34"/>
  <sheetViews>
    <sheetView workbookViewId="0">
      <selection activeCell="K5" sqref="K5"/>
    </sheetView>
  </sheetViews>
  <sheetFormatPr baseColWidth="10" defaultColWidth="9.140625" defaultRowHeight="15" x14ac:dyDescent="0.25"/>
  <cols>
    <col min="2" max="2" width="11.140625" customWidth="1"/>
    <col min="3" max="3" width="9.42578125" customWidth="1"/>
    <col min="4" max="4" width="14.140625" customWidth="1"/>
    <col min="5" max="5" width="11.140625" customWidth="1"/>
    <col min="6" max="6" width="11.42578125" customWidth="1"/>
    <col min="7" max="7" width="12.85546875" customWidth="1"/>
    <col min="8" max="8" width="12.5703125" customWidth="1"/>
    <col min="9" max="9" width="10.140625" customWidth="1"/>
    <col min="10" max="10" width="14.85546875" customWidth="1"/>
    <col min="11" max="11" width="10.85546875" customWidth="1"/>
    <col min="12" max="12" width="10.5703125" customWidth="1"/>
    <col min="13" max="13" width="9.85546875" customWidth="1"/>
    <col min="14" max="14" width="11.5703125" customWidth="1"/>
    <col min="15" max="15" width="20.42578125" customWidth="1"/>
    <col min="16" max="16" width="12.85546875" customWidth="1"/>
    <col min="17" max="22" width="8.85546875" hidden="1" customWidth="1"/>
  </cols>
  <sheetData>
    <row r="1" spans="1:22" ht="27.6" customHeight="1" x14ac:dyDescent="0.3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22" x14ac:dyDescent="0.25">
      <c r="A2" s="42" t="s">
        <v>76</v>
      </c>
      <c r="B2" s="42" t="s">
        <v>37</v>
      </c>
      <c r="C2" s="42" t="s">
        <v>38</v>
      </c>
      <c r="D2" s="42" t="s">
        <v>39</v>
      </c>
      <c r="E2" s="42" t="s">
        <v>40</v>
      </c>
      <c r="F2" s="42" t="s">
        <v>41</v>
      </c>
      <c r="G2" s="42" t="s">
        <v>42</v>
      </c>
      <c r="H2" s="42" t="s">
        <v>43</v>
      </c>
      <c r="I2" s="42" t="s">
        <v>44</v>
      </c>
      <c r="J2" s="42" t="s">
        <v>45</v>
      </c>
      <c r="K2" s="42" t="s">
        <v>46</v>
      </c>
      <c r="L2" s="42" t="s">
        <v>47</v>
      </c>
      <c r="M2" s="42"/>
      <c r="N2" s="42" t="s">
        <v>48</v>
      </c>
      <c r="O2" s="42" t="s">
        <v>49</v>
      </c>
      <c r="P2" s="42" t="s">
        <v>50</v>
      </c>
    </row>
    <row r="3" spans="1:22" x14ac:dyDescent="0.25">
      <c r="A3" s="22" t="s">
        <v>52</v>
      </c>
      <c r="B3" s="22" t="s">
        <v>51</v>
      </c>
      <c r="C3" s="22" t="s">
        <v>5</v>
      </c>
      <c r="D3" s="22" t="s">
        <v>52</v>
      </c>
      <c r="E3" s="22" t="s">
        <v>53</v>
      </c>
      <c r="F3" s="22" t="s">
        <v>54</v>
      </c>
      <c r="G3" s="22" t="s">
        <v>55</v>
      </c>
      <c r="H3" s="22" t="s">
        <v>56</v>
      </c>
      <c r="I3" s="22" t="s">
        <v>52</v>
      </c>
      <c r="J3" s="22" t="s">
        <v>56</v>
      </c>
      <c r="K3" s="22" t="s">
        <v>57</v>
      </c>
      <c r="L3" s="22" t="s">
        <v>58</v>
      </c>
      <c r="M3" s="22" t="s">
        <v>59</v>
      </c>
      <c r="N3" s="22" t="s">
        <v>60</v>
      </c>
      <c r="O3" s="22" t="s">
        <v>60</v>
      </c>
      <c r="P3" s="22" t="s">
        <v>60</v>
      </c>
    </row>
    <row r="4" spans="1:22" x14ac:dyDescent="0.25">
      <c r="A4" s="43"/>
      <c r="B4" s="43" t="s">
        <v>61</v>
      </c>
      <c r="C4" s="43" t="s">
        <v>62</v>
      </c>
      <c r="D4" s="43" t="s">
        <v>63</v>
      </c>
      <c r="E4" s="43" t="s">
        <v>64</v>
      </c>
      <c r="F4" s="43" t="s">
        <v>65</v>
      </c>
      <c r="G4" s="43" t="s">
        <v>66</v>
      </c>
      <c r="H4" s="43" t="s">
        <v>67</v>
      </c>
      <c r="I4" s="43" t="s">
        <v>68</v>
      </c>
      <c r="J4" s="43" t="s">
        <v>69</v>
      </c>
      <c r="K4" s="43" t="s">
        <v>70</v>
      </c>
      <c r="L4" s="43" t="s">
        <v>71</v>
      </c>
      <c r="M4" s="43" t="s">
        <v>72</v>
      </c>
      <c r="N4" s="43" t="s">
        <v>73</v>
      </c>
      <c r="O4" s="43" t="s">
        <v>74</v>
      </c>
      <c r="P4" s="43" t="s">
        <v>75</v>
      </c>
    </row>
    <row r="5" spans="1:22" x14ac:dyDescent="0.25">
      <c r="A5" s="37">
        <f>Blad1!F6</f>
        <v>9</v>
      </c>
      <c r="B5" s="36">
        <f>(Blad1!$C$6+Blad1!$C$7)/2</f>
        <v>55</v>
      </c>
      <c r="C5" s="38">
        <f>Blad1!C17</f>
        <v>4.4665696766656299E-2</v>
      </c>
      <c r="D5" s="36">
        <v>10</v>
      </c>
      <c r="E5" s="40">
        <f>IF(Q5=TRUE,"",C5*(4/(D5*D5*3.14)*1000))</f>
        <v>0.56898976772810572</v>
      </c>
      <c r="F5" s="41">
        <f>IF(B5="","",-0.0037*B5*B5-0.073*B5+1001)</f>
        <v>985.79250000000002</v>
      </c>
      <c r="G5" s="37">
        <f>IF(B5="","",0.0002*B5*B5-0.03*B5+1.5564)</f>
        <v>0.51140000000000008</v>
      </c>
      <c r="H5" s="44">
        <f>IF(Q5=TRUE,"",E5*D5/G5*1000)</f>
        <v>11126.119822606681</v>
      </c>
      <c r="I5" s="36">
        <v>1.5E-3</v>
      </c>
      <c r="J5" s="39">
        <f>IF(R5=TRUE,"",(-1.737*LN(0.269*I5/D5-2.185/H5*LN(0.269*I5/D5+14.5/H5)))^-2)</f>
        <v>7.5722367404780421E-3</v>
      </c>
      <c r="K5" s="36">
        <f>VLOOKUP(A5,Effektfaktor!L34:N46,2)</f>
        <v>37.200000000000003</v>
      </c>
      <c r="L5" s="36">
        <v>0.75</v>
      </c>
      <c r="M5" s="36">
        <f>VLOOKUP(A5,Effektfaktor!L34:N46,3)</f>
        <v>24</v>
      </c>
      <c r="N5" s="37">
        <f>IF(K5="","",IF(H5&lt;2300,INT(64/H5*K5/D5*F5*E5*E5/2*10/9.81*10)/10,INT(4*J5*K5/D5*F5*E5*E5/2*10/9.81*10)/10))</f>
        <v>18.3</v>
      </c>
      <c r="O5" s="37">
        <f>IF(T5=TRUE,"",INT(L5*M5*F5*E5*E5/2/100/9.81*10)/10)</f>
        <v>2.9</v>
      </c>
      <c r="P5" s="37">
        <f>IF(U5+V5=0,"",U5+V5)</f>
        <v>21.2</v>
      </c>
      <c r="Q5" t="b">
        <f>OR(B5="",C5="",D5="")</f>
        <v>0</v>
      </c>
      <c r="R5" t="b">
        <f>OR(H5="",I5="")</f>
        <v>0</v>
      </c>
      <c r="S5" t="b">
        <f>OR(L5="",M5="")</f>
        <v>0</v>
      </c>
      <c r="T5" t="b">
        <f>OR(Q5=TRUE,S5=TRUE)</f>
        <v>0</v>
      </c>
      <c r="U5">
        <f t="shared" ref="U5:V5" si="0">IF(N5="",0,N5)</f>
        <v>18.3</v>
      </c>
      <c r="V5">
        <f t="shared" si="0"/>
        <v>2.9</v>
      </c>
    </row>
    <row r="6" spans="1:22" x14ac:dyDescent="0.25">
      <c r="A6" s="37"/>
      <c r="B6" s="36"/>
      <c r="C6" s="38"/>
      <c r="D6" s="36"/>
      <c r="E6" s="40"/>
      <c r="F6" s="41"/>
      <c r="G6" s="37"/>
      <c r="H6" s="44"/>
      <c r="I6" s="36"/>
      <c r="J6" s="39"/>
      <c r="K6" s="36"/>
      <c r="L6" s="36"/>
      <c r="M6" s="36"/>
      <c r="N6" s="37"/>
      <c r="O6" s="37"/>
      <c r="P6" s="37"/>
    </row>
    <row r="7" spans="1:22" x14ac:dyDescent="0.25">
      <c r="A7" s="37"/>
      <c r="B7" s="36"/>
      <c r="C7" s="38"/>
      <c r="D7" s="36"/>
      <c r="E7" s="40"/>
      <c r="F7" s="41"/>
      <c r="G7" s="37"/>
      <c r="H7" s="44"/>
      <c r="I7" s="36"/>
      <c r="J7" s="39"/>
      <c r="K7" s="36"/>
      <c r="L7" s="36"/>
      <c r="M7" s="36"/>
      <c r="N7" s="37"/>
      <c r="O7" s="37"/>
      <c r="P7" s="37"/>
    </row>
    <row r="8" spans="1:22" x14ac:dyDescent="0.25">
      <c r="A8" s="37"/>
      <c r="B8" s="36"/>
      <c r="C8" s="38"/>
      <c r="D8" s="36"/>
      <c r="E8" s="40"/>
      <c r="F8" s="41"/>
      <c r="G8" s="37"/>
      <c r="H8" s="44"/>
      <c r="I8" s="36"/>
      <c r="J8" s="39"/>
      <c r="K8" s="36"/>
      <c r="L8" s="36"/>
      <c r="M8" s="36"/>
      <c r="N8" s="37"/>
      <c r="O8" s="37"/>
      <c r="P8" s="37"/>
    </row>
    <row r="9" spans="1:22" x14ac:dyDescent="0.25">
      <c r="A9" s="37"/>
      <c r="B9" s="36"/>
      <c r="C9" s="38"/>
      <c r="D9" s="36"/>
      <c r="E9" s="40"/>
      <c r="F9" s="41"/>
      <c r="G9" s="37"/>
      <c r="H9" s="44"/>
      <c r="I9" s="36"/>
      <c r="J9" s="39"/>
      <c r="K9" s="36"/>
      <c r="L9" s="36"/>
      <c r="M9" s="36"/>
      <c r="N9" s="37"/>
      <c r="O9" s="37"/>
      <c r="P9" s="37"/>
    </row>
    <row r="10" spans="1:22" x14ac:dyDescent="0.25">
      <c r="A10" s="37"/>
      <c r="B10" s="36"/>
      <c r="C10" s="38"/>
      <c r="D10" s="36"/>
      <c r="E10" s="40"/>
      <c r="F10" s="41"/>
      <c r="G10" s="37"/>
      <c r="H10" s="44"/>
      <c r="I10" s="36"/>
      <c r="J10" s="39"/>
      <c r="K10" s="36"/>
      <c r="L10" s="36"/>
      <c r="M10" s="36"/>
      <c r="N10" s="37"/>
      <c r="O10" s="37"/>
      <c r="P10" s="37"/>
    </row>
    <row r="11" spans="1:22" x14ac:dyDescent="0.25">
      <c r="A11" s="37"/>
      <c r="B11" s="36"/>
      <c r="C11" s="38"/>
      <c r="D11" s="36"/>
      <c r="E11" s="40"/>
      <c r="F11" s="41"/>
      <c r="G11" s="37"/>
      <c r="H11" s="44"/>
      <c r="I11" s="36"/>
      <c r="J11" s="39"/>
      <c r="K11" s="36"/>
      <c r="L11" s="36"/>
      <c r="M11" s="36"/>
      <c r="N11" s="37"/>
      <c r="O11" s="37"/>
      <c r="P11" s="37"/>
    </row>
    <row r="12" spans="1:22" x14ac:dyDescent="0.25">
      <c r="A12" s="37"/>
      <c r="B12" s="36"/>
      <c r="C12" s="38"/>
      <c r="D12" s="36"/>
      <c r="E12" s="40"/>
      <c r="F12" s="41"/>
      <c r="G12" s="37"/>
      <c r="H12" s="44"/>
      <c r="I12" s="36"/>
      <c r="J12" s="39"/>
      <c r="K12" s="36"/>
      <c r="L12" s="36"/>
      <c r="M12" s="36"/>
      <c r="N12" s="37"/>
      <c r="O12" s="37"/>
      <c r="P12" s="37"/>
    </row>
    <row r="13" spans="1:22" x14ac:dyDescent="0.25">
      <c r="A13" s="37"/>
      <c r="B13" s="36"/>
      <c r="C13" s="38"/>
      <c r="D13" s="36"/>
      <c r="E13" s="40"/>
      <c r="F13" s="41"/>
      <c r="G13" s="37"/>
      <c r="H13" s="44"/>
      <c r="I13" s="36"/>
      <c r="J13" s="39"/>
      <c r="K13" s="36"/>
      <c r="L13" s="36"/>
      <c r="M13" s="36"/>
      <c r="N13" s="37"/>
      <c r="O13" s="37"/>
      <c r="P13" s="37"/>
    </row>
    <row r="14" spans="1:22" x14ac:dyDescent="0.25">
      <c r="A14" s="37"/>
      <c r="B14" s="36"/>
      <c r="C14" s="38"/>
      <c r="D14" s="36"/>
      <c r="E14" s="40"/>
      <c r="F14" s="41"/>
      <c r="G14" s="37"/>
      <c r="H14" s="44"/>
      <c r="I14" s="36"/>
      <c r="J14" s="39"/>
      <c r="K14" s="36"/>
      <c r="L14" s="36"/>
      <c r="M14" s="36"/>
      <c r="N14" s="37"/>
      <c r="O14" s="37"/>
      <c r="P14" s="37"/>
    </row>
    <row r="15" spans="1:22" x14ac:dyDescent="0.25">
      <c r="A15" s="37"/>
      <c r="B15" s="36"/>
      <c r="C15" s="38"/>
      <c r="D15" s="36"/>
      <c r="E15" s="40"/>
      <c r="F15" s="41"/>
      <c r="G15" s="37"/>
      <c r="H15" s="44"/>
      <c r="I15" s="36"/>
      <c r="J15" s="39"/>
      <c r="K15" s="36"/>
      <c r="L15" s="36"/>
      <c r="M15" s="36"/>
      <c r="N15" s="37"/>
      <c r="O15" s="37"/>
      <c r="P15" s="37"/>
    </row>
    <row r="16" spans="1:22" x14ac:dyDescent="0.25">
      <c r="A16" s="37"/>
      <c r="B16" s="36"/>
      <c r="C16" s="38"/>
      <c r="D16" s="36"/>
      <c r="E16" s="40"/>
      <c r="F16" s="41"/>
      <c r="G16" s="37"/>
      <c r="H16" s="44"/>
      <c r="I16" s="36"/>
      <c r="J16" s="39"/>
      <c r="K16" s="36"/>
      <c r="L16" s="36"/>
      <c r="M16" s="36"/>
      <c r="N16" s="37"/>
      <c r="O16" s="37"/>
      <c r="P16" s="37"/>
    </row>
    <row r="33" spans="1:5" x14ac:dyDescent="0.25">
      <c r="A33" s="69" t="s">
        <v>90</v>
      </c>
      <c r="B33" s="68">
        <v>1200</v>
      </c>
      <c r="C33" s="68">
        <v>1800</v>
      </c>
      <c r="D33" s="68">
        <v>2400</v>
      </c>
      <c r="E33" s="68">
        <v>3000</v>
      </c>
    </row>
    <row r="34" spans="1:5" x14ac:dyDescent="0.25">
      <c r="A34" s="70" t="s">
        <v>91</v>
      </c>
      <c r="B34" s="68">
        <v>5000</v>
      </c>
      <c r="C34" s="68">
        <v>7400</v>
      </c>
      <c r="D34" s="68">
        <v>10000</v>
      </c>
      <c r="E34" s="68">
        <v>12400</v>
      </c>
    </row>
  </sheetData>
  <mergeCells count="1">
    <mergeCell ref="B1:P1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Blad1</vt:lpstr>
      <vt:lpstr>Effektfaktor</vt:lpstr>
      <vt:lpstr>Tryckfall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HP;Per.Gunnar.Skardal@lyngson.no</dc:creator>
  <cp:lastModifiedBy>pergu</cp:lastModifiedBy>
  <cp:lastPrinted>2020-05-26T11:33:29Z</cp:lastPrinted>
  <dcterms:created xsi:type="dcterms:W3CDTF">2016-06-01T11:46:06Z</dcterms:created>
  <dcterms:modified xsi:type="dcterms:W3CDTF">2020-05-26T13:35:34Z</dcterms:modified>
</cp:coreProperties>
</file>